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6890" windowHeight="11640" activeTab="0"/>
  </bookViews>
  <sheets>
    <sheet name="YEAR 1" sheetId="1" r:id="rId1"/>
    <sheet name="YEAR 2" sheetId="2" r:id="rId2"/>
    <sheet name="YEAR 3-IBM" sheetId="3" r:id="rId3"/>
    <sheet name="DV-IDENTITY-0" sheetId="4" state="veryHidden" r:id="rId4"/>
    <sheet name="YEAR 3-HR" sheetId="5" r:id="rId5"/>
    <sheet name="YEAR 3-FIN" sheetId="6" r:id="rId6"/>
    <sheet name="YEAR 3- LUXURY" sheetId="7" r:id="rId7"/>
    <sheet name="YEAR 3- CREATIVE INDUSTRIES" sheetId="8" r:id="rId8"/>
    <sheet name="EXCHANGE STUDENTS COURSES" sheetId="9" r:id="rId9"/>
    <sheet name="Feuil1" sheetId="10" r:id="rId10"/>
    <sheet name="Feuil2" sheetId="11" r:id="rId11"/>
  </sheets>
  <definedNames>
    <definedName name="CodeECTS">'YEAR 1'!$A$8</definedName>
    <definedName name="CreditECTS">'YEAR 1'!$D$8</definedName>
    <definedName name="DateNaissance">'YEAR 1'!#REF!</definedName>
    <definedName name="DureeTotale">'YEAR 1'!#REF!</definedName>
    <definedName name="HomeInstitution">'YEAR 1'!#REF!</definedName>
    <definedName name="ListeChamps">'YEAR 1'!$F$7</definedName>
    <definedName name="Matiere">'YEAR 1'!$B$8</definedName>
    <definedName name="Nom">'YEAR 1'!#REF!</definedName>
    <definedName name="Note">'YEAR 1'!#REF!</definedName>
    <definedName name="Title">'YEAR 1'!#REF!</definedName>
    <definedName name="_xlnm.Print_Area" localSheetId="0">'YEAR 1'!$A$3:$C$26</definedName>
  </definedNames>
  <calcPr fullCalcOnLoad="1"/>
</workbook>
</file>

<file path=xl/sharedStrings.xml><?xml version="1.0" encoding="utf-8"?>
<sst xmlns="http://schemas.openxmlformats.org/spreadsheetml/2006/main" count="558" uniqueCount="361">
  <si>
    <t>Course Unit Title</t>
  </si>
  <si>
    <t>ECTS Credits</t>
  </si>
  <si>
    <t>ECTS Code</t>
  </si>
  <si>
    <t>Teaching Hours</t>
  </si>
  <si>
    <t>AAAAAH7dM90=</t>
  </si>
  <si>
    <t>Fiscalité des personnes</t>
  </si>
  <si>
    <t>Mathématiques financières</t>
  </si>
  <si>
    <t>Analyse des choix stratégiques</t>
  </si>
  <si>
    <t xml:space="preserve"> </t>
  </si>
  <si>
    <t>Doing business in Asia, a case of Vietnam</t>
  </si>
  <si>
    <t>Business writing</t>
  </si>
  <si>
    <t>Gestion de projet</t>
  </si>
  <si>
    <t>Gestion de trésorerie</t>
  </si>
  <si>
    <t>Informatique décisionnelle</t>
  </si>
  <si>
    <t>Management and information systems</t>
  </si>
  <si>
    <t>Market research methods</t>
  </si>
  <si>
    <t>Stratégie</t>
  </si>
  <si>
    <t>Contrôle de gestion avancé</t>
  </si>
  <si>
    <t>Financements et placements</t>
  </si>
  <si>
    <t>Ingénierie financière</t>
  </si>
  <si>
    <t>Options et produits dérivés</t>
  </si>
  <si>
    <t>Gestion des industries créatives</t>
  </si>
  <si>
    <t>Marketing des industries créatives</t>
  </si>
  <si>
    <t>Creative communication skills</t>
  </si>
  <si>
    <t>Advanced international negociation and cross-cultural management</t>
  </si>
  <si>
    <t>Preparation to the TOEFL test</t>
  </si>
  <si>
    <t>YEAR 3 - INTERNATIONAL BUSINESS MANAGEMENT (graduate courses)</t>
  </si>
  <si>
    <t>YEAR 3 - FINANCE (graduate courses)</t>
  </si>
  <si>
    <t>YEAR 3 - 3A LUXURY INDUSTRIES (graduate courses)</t>
  </si>
  <si>
    <t xml:space="preserve"> YEAR 3 - 3A  CREATIVE INDUSTRIES (graduate courses)</t>
  </si>
  <si>
    <t>ADDITIONAL COURSES OFFERED ONLY TO EXCHANGE STUDENTS</t>
  </si>
  <si>
    <t>Law introduction</t>
  </si>
  <si>
    <t>Women in business</t>
  </si>
  <si>
    <t>* some classes may not be offered/ students will be informed prior or upon arrival</t>
  </si>
  <si>
    <t>Debate</t>
  </si>
  <si>
    <t>course code change every year</t>
  </si>
  <si>
    <t>Intitulé des cours</t>
  </si>
  <si>
    <t xml:space="preserve"> a</t>
  </si>
  <si>
    <t>b</t>
  </si>
  <si>
    <t>c</t>
  </si>
  <si>
    <t>d</t>
  </si>
  <si>
    <t>e</t>
  </si>
  <si>
    <t>International People Management</t>
  </si>
  <si>
    <r>
      <t xml:space="preserve">International &amp; Intercultural Management </t>
    </r>
    <r>
      <rPr>
        <b/>
        <sz val="8"/>
        <rFont val="Arial Narrow"/>
        <family val="2"/>
      </rPr>
      <t>(1)</t>
    </r>
  </si>
  <si>
    <t>Sabine BACOUËL-JENTJENS</t>
  </si>
  <si>
    <t>Doctorat en Ressources Humaines, Université de Trèves, Allemagne</t>
  </si>
  <si>
    <t>Professeur de management, Responsable de la spécialisation International Business and Management</t>
  </si>
  <si>
    <t>International Marketing</t>
  </si>
  <si>
    <r>
      <t xml:space="preserve">International e-Marketing </t>
    </r>
    <r>
      <rPr>
        <b/>
        <sz val="8"/>
        <rFont val="Arial Narrow"/>
        <family val="2"/>
      </rPr>
      <t>(1)</t>
    </r>
  </si>
  <si>
    <t>Zhenzhen ZHAO</t>
  </si>
  <si>
    <t>Doctorat en Computer Sciences, Télécom ParisSud avec</t>
  </si>
  <si>
    <t xml:space="preserve">Enseignant chercher en digital marketing, social networks chair, Télécom Ecole </t>
  </si>
  <si>
    <t>Université Paris 6</t>
  </si>
  <si>
    <t>de Management, Institut Mines-Télécom</t>
  </si>
  <si>
    <r>
      <t xml:space="preserve">International Marketing </t>
    </r>
    <r>
      <rPr>
        <b/>
        <sz val="8"/>
        <rFont val="Arial Narrow"/>
        <family val="2"/>
      </rPr>
      <t>(1)</t>
    </r>
  </si>
  <si>
    <t>Ronny RUBIN</t>
  </si>
  <si>
    <t>MBA International Business University of Southern California</t>
  </si>
  <si>
    <t>Consultant</t>
  </si>
  <si>
    <t>General Management</t>
  </si>
  <si>
    <r>
      <t xml:space="preserve">Learning business by doing business </t>
    </r>
    <r>
      <rPr>
        <b/>
        <sz val="8"/>
        <rFont val="Arial Narrow"/>
        <family val="2"/>
      </rPr>
      <t>(1) - Business Case (simulation)</t>
    </r>
  </si>
  <si>
    <t xml:space="preserve">International Finance </t>
  </si>
  <si>
    <r>
      <t>International Finance</t>
    </r>
    <r>
      <rPr>
        <b/>
        <sz val="8"/>
        <rFont val="Arial Narrow"/>
        <family val="2"/>
      </rPr>
      <t xml:space="preserve"> (1)</t>
    </r>
  </si>
  <si>
    <t>Daniel LAPRES</t>
  </si>
  <si>
    <t>MBA Columbia University - DEA Droit International Public</t>
  </si>
  <si>
    <t xml:space="preserve">Avocat à la Cour d'Appel de Paris </t>
  </si>
  <si>
    <t>Barrister and Solicitor (Nova Scotia - Canada / Shangaï - Chine)</t>
  </si>
  <si>
    <t>International Business</t>
  </si>
  <si>
    <r>
      <t xml:space="preserve">International Law Taxation </t>
    </r>
    <r>
      <rPr>
        <b/>
        <sz val="8"/>
        <rFont val="Arial Narrow"/>
        <family val="2"/>
      </rPr>
      <t>(1)</t>
    </r>
  </si>
  <si>
    <t xml:space="preserve">Jean-Raphaël PELLAS  </t>
  </si>
  <si>
    <t>Doctorat en sciences juridiques, Université Paris 1 Panthéon-Sorbonne</t>
  </si>
  <si>
    <t>Professeur responsable pédagogique du PGE en Formation Continue</t>
  </si>
  <si>
    <r>
      <t xml:space="preserve">Doing business in emerging markets </t>
    </r>
    <r>
      <rPr>
        <b/>
        <sz val="8"/>
        <rFont val="Arial Narrow"/>
        <family val="2"/>
      </rPr>
      <t>(1): theory and focus on selected countries</t>
    </r>
  </si>
  <si>
    <t xml:space="preserve">Sabine BACOUËL-JENTJENS </t>
  </si>
  <si>
    <t>Bhumika GUPTA and other guests</t>
  </si>
  <si>
    <t>Doctorat en RH, Université de Pau</t>
  </si>
  <si>
    <t>Professor en Ressources Humaines, Télécom Ecole de Management</t>
  </si>
  <si>
    <r>
      <t>International Trade</t>
    </r>
    <r>
      <rPr>
        <b/>
        <sz val="8"/>
        <rFont val="Arial Narrow"/>
        <family val="2"/>
      </rPr>
      <t xml:space="preserve"> (1)</t>
    </r>
  </si>
  <si>
    <t>Monica RIVIERE</t>
  </si>
  <si>
    <t>Doctorat en Management, Skema / Université Aix Marseille</t>
  </si>
  <si>
    <t>Professor in Management, Responsable de la spécialisation Master of Business Studies in Innovation in European Business</t>
  </si>
  <si>
    <r>
      <t>International business strategy</t>
    </r>
    <r>
      <rPr>
        <b/>
        <sz val="8"/>
        <rFont val="Arial Narrow"/>
        <family val="2"/>
      </rPr>
      <t xml:space="preserve"> (1)</t>
    </r>
  </si>
  <si>
    <t>International Sales: Negotiation and Contracts</t>
  </si>
  <si>
    <r>
      <t xml:space="preserve">International Negotiation </t>
    </r>
    <r>
      <rPr>
        <b/>
        <sz val="8"/>
        <rFont val="Arial Narrow"/>
        <family val="2"/>
      </rPr>
      <t>(1)</t>
    </r>
  </si>
  <si>
    <t>Pierre LE MAITRE</t>
  </si>
  <si>
    <t>EAP</t>
  </si>
  <si>
    <t>International Business Law (1)</t>
  </si>
  <si>
    <t>Rapport de stage, mémoire, projet professionnel</t>
  </si>
  <si>
    <t>Rapport de stage</t>
  </si>
  <si>
    <t>Méthodologie de recherche appliquée = mémoire</t>
  </si>
  <si>
    <r>
      <t>Sabine BACOU</t>
    </r>
    <r>
      <rPr>
        <sz val="8"/>
        <rFont val="Arial"/>
        <family val="2"/>
      </rPr>
      <t>Ë</t>
    </r>
    <r>
      <rPr>
        <sz val="8"/>
        <rFont val="Arial Narrow"/>
        <family val="2"/>
      </rPr>
      <t>L-JENTJENS</t>
    </r>
  </si>
  <si>
    <t>Projet professionnel</t>
  </si>
  <si>
    <r>
      <t xml:space="preserve">Workshop job searching &amp; career planning </t>
    </r>
    <r>
      <rPr>
        <b/>
        <sz val="8"/>
        <rFont val="Arial Narrow"/>
        <family val="2"/>
      </rPr>
      <t>(1)</t>
    </r>
  </si>
  <si>
    <t>Pascale DEBUIRE</t>
  </si>
  <si>
    <t>Doctorante en sciences de gestion Université d'Angers - MBA University of Long Island (New York)</t>
  </si>
  <si>
    <t>Professeur de management, Responsable de département</t>
  </si>
  <si>
    <r>
      <t xml:space="preserve">Job searching abroad </t>
    </r>
    <r>
      <rPr>
        <b/>
        <sz val="8"/>
        <rFont val="Arial Narrow"/>
        <family val="2"/>
      </rPr>
      <t>(1)</t>
    </r>
  </si>
  <si>
    <t>Total cours</t>
  </si>
  <si>
    <t xml:space="preserve">a volumes horaires de cours / b crédits ECTS /  c professeurs / d titres académiques / e fonction </t>
  </si>
  <si>
    <t>intitulé du cours</t>
  </si>
  <si>
    <t>Langue du cours</t>
  </si>
  <si>
    <t>ECTS</t>
  </si>
  <si>
    <t>Nom et prénom du professeur</t>
  </si>
  <si>
    <t>Statut (permanent/vacataire)</t>
  </si>
  <si>
    <t>Pole d'enseignement</t>
  </si>
  <si>
    <t>UE 1. Enseignements fondamentaux</t>
  </si>
  <si>
    <t>Politique de recrutement</t>
  </si>
  <si>
    <t>FR</t>
  </si>
  <si>
    <t>LACRAMPE Rémy</t>
  </si>
  <si>
    <t>Vacataire</t>
  </si>
  <si>
    <t>Management et SI</t>
  </si>
  <si>
    <t>Politique de formation</t>
  </si>
  <si>
    <t>GRIMA François</t>
  </si>
  <si>
    <t>Marketing et relations commerciales</t>
  </si>
  <si>
    <t>Politique de rémunération</t>
  </si>
  <si>
    <t>POKROVSKY Alexis</t>
  </si>
  <si>
    <t>Droit du travail, dialogue social et mobilité internationale</t>
  </si>
  <si>
    <t>LOUFRANI Yvan</t>
  </si>
  <si>
    <t>Permanent</t>
  </si>
  <si>
    <t>UE 2. Enseignements spécialisés</t>
  </si>
  <si>
    <t>Introduction à la psychologie du travail</t>
  </si>
  <si>
    <t>Finance et audit</t>
  </si>
  <si>
    <t>Audit social</t>
  </si>
  <si>
    <t>SACHET-MILLIAT Anne</t>
  </si>
  <si>
    <t>Système d'information RH (SIRH)</t>
  </si>
  <si>
    <t>DE LA FOYE Stanislas</t>
  </si>
  <si>
    <t>Leadership and change management</t>
  </si>
  <si>
    <t>EN</t>
  </si>
  <si>
    <t>BHUMIKA Gupta</t>
  </si>
  <si>
    <t>UE 3. Problématiques contemporaines</t>
  </si>
  <si>
    <t>Diversité et inclusion</t>
  </si>
  <si>
    <t>DJABI Anissa</t>
  </si>
  <si>
    <t>Bien-être, santé et qualité de vie au travail</t>
  </si>
  <si>
    <t>Ethique et responsabilité sociale des entreprises (RSE)</t>
  </si>
  <si>
    <t>UE 4. International HRM</t>
  </si>
  <si>
    <t>Human resources management</t>
  </si>
  <si>
    <t>Intercultural human resources</t>
  </si>
  <si>
    <t>BACOUËL-JENTJENS Sabine</t>
  </si>
  <si>
    <t>UE 5. Mémoire et projets</t>
  </si>
  <si>
    <t>Méthodologie de mémoire</t>
  </si>
  <si>
    <t>Atelier métier et projet professionnel</t>
  </si>
  <si>
    <t>MORIEZ David</t>
  </si>
  <si>
    <t>Fil rouge | Projet à empreinte sociale</t>
  </si>
  <si>
    <t>60 ECTS</t>
  </si>
  <si>
    <t>YEAR 3 - HUMAN RESOURCE MANAGEMENT (graduate courses)</t>
  </si>
  <si>
    <t>a</t>
  </si>
  <si>
    <t>FINANCE D'ENTREPRISE</t>
  </si>
  <si>
    <t>Politique financière des entreprises</t>
  </si>
  <si>
    <t>Politique financière et évaluation des entreprises</t>
  </si>
  <si>
    <t>Olivier LEVYNE (SA)</t>
  </si>
  <si>
    <t>Professeur des Universités - HDR en sciences de gestion - Doctorat en sciences économiques - ESCP</t>
  </si>
  <si>
    <r>
      <t xml:space="preserve">Professeur responsable des spécialisations Expertise audit et contrôle, Finance, responsable ISC Paris des masters 2 UCP Gestion des risques financiers, Gestion des instruments financiers, du programme doctoral en Finance, Director Financial Institutions and Real Estate Group, </t>
    </r>
    <r>
      <rPr>
        <b/>
        <sz val="8"/>
        <rFont val="Arial Narrow"/>
        <family val="2"/>
      </rPr>
      <t>Crédit Agricole Corporate &amp; Investment Bank</t>
    </r>
  </si>
  <si>
    <t>Analyse financière IFRS</t>
  </si>
  <si>
    <t>David HELLER (SA)</t>
  </si>
  <si>
    <t>Doctorant en sciences de gestion - ISC Paris - Master 2 Recherche Université de Cergy Pontoise</t>
  </si>
  <si>
    <t>Professeur assistant en finance</t>
  </si>
  <si>
    <t>International Treasury Management (1)</t>
  </si>
  <si>
    <t>Audit et contrôle</t>
  </si>
  <si>
    <t>Aldo LEVY (SA)</t>
  </si>
  <si>
    <t>Professeur des Universités - HDR en sciences de gestion - Doctorat en finance - Ingénieur en sciences des organisations</t>
  </si>
  <si>
    <t>Professeur associé de contrôle de gestion et de finance</t>
  </si>
  <si>
    <t>Audit interne et conformité</t>
  </si>
  <si>
    <t>Justine SICARD (IP)</t>
  </si>
  <si>
    <t>Master II - Conformité, contrôle des risques et sécurité financière</t>
  </si>
  <si>
    <r>
      <t>Chargée de conformité et de contrôle interne,</t>
    </r>
    <r>
      <rPr>
        <b/>
        <sz val="8"/>
        <rFont val="Arial Narrow"/>
        <family val="2"/>
      </rPr>
      <t xml:space="preserve"> Anaxis Asset Management</t>
    </r>
  </si>
  <si>
    <t>FINANCE DE MARCHE</t>
  </si>
  <si>
    <t>Marchés financiers</t>
  </si>
  <si>
    <t>Finance de marché</t>
  </si>
  <si>
    <t>Ilyes ABID</t>
  </si>
  <si>
    <t>Docteur en Sciences des Gestion</t>
  </si>
  <si>
    <t>Professeur permanent ISC Paris en finance</t>
  </si>
  <si>
    <t>Mondher BELLALAH (SA)</t>
  </si>
  <si>
    <t>Professeur des Universités - HDR en sciences de gestion - Doctorat ès sciences de gestion Dauphine - Agrégation des universités</t>
  </si>
  <si>
    <t>Professeur associé ISC Paris</t>
  </si>
  <si>
    <t>Produits structurés et gestion de portefeuille</t>
  </si>
  <si>
    <t>Quentin MATILLON (SA)</t>
  </si>
  <si>
    <r>
      <t xml:space="preserve">Chargé d’investissement, </t>
    </r>
    <r>
      <rPr>
        <b/>
        <sz val="8"/>
        <rFont val="Arial Narrow"/>
        <family val="2"/>
      </rPr>
      <t>Arts et Biens</t>
    </r>
    <r>
      <rPr>
        <sz val="8"/>
        <rFont val="Arial Narrow"/>
        <family val="2"/>
      </rPr>
      <t xml:space="preserve"> à Paris</t>
    </r>
  </si>
  <si>
    <t>Equity research (1)</t>
  </si>
  <si>
    <t>Patrick LEGLAND (SP)</t>
  </si>
  <si>
    <t>Diplômé Société française des analystes financiers - ESC Lille</t>
  </si>
  <si>
    <r>
      <t xml:space="preserve">Directeur global de la recherche &amp; co-responsable de la Chaîne Equity - Membre du comité exécutif des activités de marché </t>
    </r>
    <r>
      <rPr>
        <b/>
        <sz val="8"/>
        <rFont val="Arial Narrow"/>
        <family val="2"/>
      </rPr>
      <t>Société Générale</t>
    </r>
  </si>
  <si>
    <t>INGENIERIE FINANCIERE</t>
  </si>
  <si>
    <t>Pratique de l'ingénierie financière</t>
  </si>
  <si>
    <t>Business case (fil rouge du programme)</t>
  </si>
  <si>
    <t>Structured finance, Project Finance (1)</t>
  </si>
  <si>
    <t>Marc BRADFORD (IP)</t>
  </si>
  <si>
    <t xml:space="preserve">DEA monnaie, finance, banque - IEP  </t>
  </si>
  <si>
    <t>Professeur d'ingénierie financière</t>
  </si>
  <si>
    <t>Méthodologie de recherche appliquée : mémoire</t>
  </si>
  <si>
    <t>Atelier stratégie emploi et projet professionnel</t>
  </si>
  <si>
    <t>Professeur responsable de la spécialisation Finance, de la filière Institutions Bancaires, du MBA Finance et ingénierie financière</t>
  </si>
  <si>
    <t>Total</t>
  </si>
  <si>
    <t xml:space="preserve">a volumes horaires de cours / b crédits ECTS /  c enseignants / d titres académiques / e fonction </t>
  </si>
  <si>
    <t>Fondamentaux Marketing</t>
  </si>
  <si>
    <t>I - Intelligence Marketing</t>
  </si>
  <si>
    <t>Etudes Quantitatives appliquées</t>
  </si>
  <si>
    <t>Caroline RICHE</t>
  </si>
  <si>
    <t xml:space="preserve"> Doctorat en sciences de gestion Université Panthéon Sorbonne</t>
  </si>
  <si>
    <t>Maitre de conférences IAE d'Amiens Université de Picardie Jules Verne</t>
  </si>
  <si>
    <t>Etudes Qualitatives appliquées</t>
  </si>
  <si>
    <t>Coralie DAMAY</t>
  </si>
  <si>
    <t>Directeur de recherche en sciences de gestion - Doctorat en sciences de gestion HEC - DEA de marketing et stratégie Université Paris Dauphine</t>
  </si>
  <si>
    <t>Professeur responsable du MBA Marketing et communication</t>
  </si>
  <si>
    <t>II - Marketing Mix &amp; Positionnement</t>
  </si>
  <si>
    <t>Cross Canal (1)</t>
  </si>
  <si>
    <t>Yvon MOISAN</t>
  </si>
  <si>
    <t>Doctorat en sciences de gestion Université Paris X - Harvard - ESSEC</t>
  </si>
  <si>
    <t>Président Saint Germain Consulting</t>
  </si>
  <si>
    <t>Marketing Management des industries du luxe</t>
  </si>
  <si>
    <t>I - Marketing du luxe</t>
  </si>
  <si>
    <t>Marketing du luxe</t>
  </si>
  <si>
    <t>Christophe RIOUX</t>
  </si>
  <si>
    <t>Doctorant EHESS - ESCP - CELSA</t>
  </si>
  <si>
    <t>Professeur responsable des options Luxe et Industries créatives et des MBA du Pôle Art, Luxe et Culture</t>
  </si>
  <si>
    <t>Fil rouge pédagogique</t>
  </si>
  <si>
    <t>Branding (1)</t>
  </si>
  <si>
    <t>Gerald MAZZALOVO</t>
  </si>
  <si>
    <t>Executive doctorate Université Paris Dauphine - MBA Columbia University - Ecole Nationale de Chimie de Strasbourg</t>
  </si>
  <si>
    <t>Consultant - Ex-PDG de Bally, Loewe et Ferragamo USA</t>
  </si>
  <si>
    <t>Digital Marketing (1)</t>
  </si>
  <si>
    <t>II - Management international du luxe</t>
  </si>
  <si>
    <r>
      <t xml:space="preserve">International Distribution/Retailing </t>
    </r>
    <r>
      <rPr>
        <b/>
        <sz val="8"/>
        <rFont val="Arial Narrow"/>
        <family val="2"/>
      </rPr>
      <t>(1)</t>
    </r>
  </si>
  <si>
    <t>Michel CHEVALIER</t>
  </si>
  <si>
    <t>Doctorat et MBA HARVARD University - HEC</t>
  </si>
  <si>
    <t>Professeur associé à l'ESSEC et à l'ISC Paris - Consultant</t>
  </si>
  <si>
    <r>
      <t xml:space="preserve">International Negotiation/Cross-Cultural Management </t>
    </r>
    <r>
      <rPr>
        <b/>
        <sz val="8"/>
        <rFont val="Arial Narrow"/>
        <family val="2"/>
      </rPr>
      <t>(1)</t>
    </r>
  </si>
  <si>
    <t>Marc SINNASSAMY</t>
  </si>
  <si>
    <t>ESC Rouen</t>
  </si>
  <si>
    <t>Directeur associé Goodwill</t>
  </si>
  <si>
    <t>Marchés du luxe (1)</t>
  </si>
  <si>
    <t>Alain VIOT</t>
  </si>
  <si>
    <t>ESSEC</t>
  </si>
  <si>
    <r>
      <t xml:space="preserve">Ex-Président de </t>
    </r>
    <r>
      <rPr>
        <b/>
        <sz val="8"/>
        <rFont val="Arial Narrow"/>
        <family val="2"/>
      </rPr>
      <t>JM WESTON SAS</t>
    </r>
    <r>
      <rPr>
        <sz val="8"/>
        <rFont val="Arial Narrow"/>
        <family val="2"/>
      </rPr>
      <t xml:space="preserve"> et Directeur du Développement du groupe </t>
    </r>
    <r>
      <rPr>
        <b/>
        <sz val="8"/>
        <rFont val="Arial Narrow"/>
        <family val="2"/>
      </rPr>
      <t>EPI</t>
    </r>
  </si>
  <si>
    <t>III - Biens d’équipement</t>
  </si>
  <si>
    <t>Haute couture et PAP</t>
  </si>
  <si>
    <t>Boï Dinh ON</t>
  </si>
  <si>
    <t>Master 2 recherche organisation appliquée IAE Paris - MS Management des hommes et des organisations ESCP Europe - IFM Postgraduate Management de la création - Maîtrise de chinois INALCO - Maîtrise de psychologie Paris V</t>
  </si>
  <si>
    <t>Consultant et chargée d'enseignement à l'Institut Français de la Mode</t>
  </si>
  <si>
    <t>Marketing de l'industrie du parfum</t>
  </si>
  <si>
    <t>Maurice ALHADEVE</t>
  </si>
  <si>
    <t>JF Kellog Northwestern University - IEP Paris</t>
  </si>
  <si>
    <t>Consultant en parfumerie</t>
  </si>
  <si>
    <t>HBJO et Maroquinerie</t>
  </si>
  <si>
    <t>Ex-Président de JM WESTON SAS et Directeur du Développement du groupe EPI</t>
  </si>
  <si>
    <t>IV - Loisirs et services</t>
  </si>
  <si>
    <t>Hôtellerie et tourisme du luxe</t>
  </si>
  <si>
    <t>Naïade FREIRE</t>
  </si>
  <si>
    <t>Doctorat en études ibériques - Agrégation</t>
  </si>
  <si>
    <t>Enseignant-chercheur ISC Paris</t>
  </si>
  <si>
    <t>Marketing du luxe alimentaire et gastronomie</t>
  </si>
  <si>
    <t>Vincent MARCILHAC</t>
  </si>
  <si>
    <t>Doctorat Université Paris-Sorbonne</t>
  </si>
  <si>
    <r>
      <t xml:space="preserve">Président-Fondateur de l'association </t>
    </r>
    <r>
      <rPr>
        <b/>
        <sz val="8"/>
        <rFont val="Arial Narrow"/>
        <family val="2"/>
      </rPr>
      <t>Geofood</t>
    </r>
  </si>
  <si>
    <t>Marketing des vins et spiritueux</t>
  </si>
  <si>
    <t>Guillaume PUZO</t>
  </si>
  <si>
    <t>Consultant vins et spiritueux</t>
  </si>
  <si>
    <t>Président-Fondateur de l'association Geofood</t>
  </si>
  <si>
    <t>Ventes aux enchères et Marché de l'art</t>
  </si>
  <si>
    <t>Virginie CHUIMER</t>
  </si>
  <si>
    <t>DEA d'ethnologie de l'objet, organisations et culture des sociétés</t>
  </si>
  <si>
    <t>Journaliste et conférencière à Drouot</t>
  </si>
  <si>
    <t>V - Rapport de stage, mémoire, projet professionnel</t>
  </si>
  <si>
    <t>Leïla LOUSSAIEF</t>
  </si>
  <si>
    <t>Doctorat en sciences de gestion</t>
  </si>
  <si>
    <t>Professeur de marketing, responsable ISC Paris du Master 2 Management des études marketing (UCP)</t>
  </si>
  <si>
    <t xml:space="preserve">Atelier stratégie emploi et projet professionnel </t>
  </si>
  <si>
    <t>Catherine MALAVAL</t>
  </si>
  <si>
    <t>IEP Paris</t>
  </si>
  <si>
    <t>Enseignante IEP Paris</t>
  </si>
  <si>
    <t>Total (hors consulting mémoire, coaching professionnel, conférences thématiques &amp; visites d'entreprises)</t>
  </si>
  <si>
    <t>Marketing Management des industries créatives</t>
  </si>
  <si>
    <t>I - Marketing et Management des industries créatives</t>
  </si>
  <si>
    <t>Olivier SILHOL</t>
  </si>
  <si>
    <t>DES de droit privé - IEP Paris - ICG - Ancien avocat</t>
  </si>
  <si>
    <t>Professeur associé à HEC - Maître de conférences à l'Ecole Polytechnique - Professeur affilié à l'ISC Paris</t>
  </si>
  <si>
    <t>Fiscalité des industries créatives</t>
  </si>
  <si>
    <t>Jean-Raphaël PELLAS</t>
  </si>
  <si>
    <t>3ème cycle CESB - DEA de Droit Public et Sciences Politiques - Ecole Nationale des Impôts</t>
  </si>
  <si>
    <t>Professeur de fiscalité et de gestion de patrimoine</t>
  </si>
  <si>
    <t>III - Enseignements Culture</t>
  </si>
  <si>
    <t>Edition et culture numérique</t>
  </si>
  <si>
    <t>Cécile PALUSINSKI</t>
  </si>
  <si>
    <t>ISC Paris</t>
  </si>
  <si>
    <t>Directrice de la société Numered</t>
  </si>
  <si>
    <t>Industrie musicale</t>
  </si>
  <si>
    <t>Xavier GATINEL</t>
  </si>
  <si>
    <t>DESS Gestion et administration de la musique option marketing Sorbonne Paris IV - ESLSCA Spécialisation marketing</t>
  </si>
  <si>
    <t>Marché de l'art</t>
  </si>
  <si>
    <t>IV - Enseignements Médias</t>
  </si>
  <si>
    <t>Industrie cinématographique</t>
  </si>
  <si>
    <t>Franck GARBARZ</t>
  </si>
  <si>
    <t>HEC - IEP Paris</t>
  </si>
  <si>
    <t>Directeur des Masters de l'ESRA</t>
  </si>
  <si>
    <t>Management de l'audiovisuel</t>
  </si>
  <si>
    <t>Isabelle REPITON</t>
  </si>
  <si>
    <t>DEA Histoire IEP Paris - IEP Paris</t>
  </si>
  <si>
    <t>Rédactrice en chef adjointe rubrique Technologies &amp; Médias - La Tribune</t>
  </si>
  <si>
    <t>Management des médias et journalisme</t>
  </si>
  <si>
    <t>Consultant Médias</t>
  </si>
  <si>
    <t>V - Enseignements Tendances</t>
  </si>
  <si>
    <t>Management de la mode</t>
  </si>
  <si>
    <t>Boi Dinh ON</t>
  </si>
  <si>
    <t>Marketing des industries du goût</t>
  </si>
  <si>
    <t>Vincent Marcilhac</t>
  </si>
  <si>
    <t xml:space="preserve">Industrie du jeu vidéo </t>
  </si>
  <si>
    <t>Intervenants</t>
  </si>
  <si>
    <t>VI - Rapport de stage, mémoire, projet professionnel</t>
  </si>
  <si>
    <t xml:space="preserve"> YEAR 1 - Fall 2017 (last year of bachelor degree): Undergraduate courses</t>
  </si>
  <si>
    <t>YEAR 2: Fall 2017 (1st year of Master degree): Graduate courses</t>
  </si>
  <si>
    <t>Sales negociation</t>
  </si>
  <si>
    <t>Business mathematics</t>
  </si>
  <si>
    <t>Financial accounting</t>
  </si>
  <si>
    <t>Microeconomics</t>
  </si>
  <si>
    <t>French taxation</t>
  </si>
  <si>
    <t>Business organization and systems</t>
  </si>
  <si>
    <t>Micro économie</t>
  </si>
  <si>
    <t>Théorie des organizations</t>
  </si>
  <si>
    <t>Organization judiciaire et droit civil</t>
  </si>
  <si>
    <t>Informatique I</t>
  </si>
  <si>
    <t>Marketing I - in French</t>
  </si>
  <si>
    <t>Marketing I - in English</t>
  </si>
  <si>
    <t>Comptabilité des entreprises</t>
  </si>
  <si>
    <t>Comptabilité financière</t>
  </si>
  <si>
    <t>Droit civil</t>
  </si>
  <si>
    <t>Environnement économique et social I, II</t>
  </si>
  <si>
    <t>Elective class</t>
  </si>
  <si>
    <t>Organisational behaviour</t>
  </si>
  <si>
    <t>Corporate finance</t>
  </si>
  <si>
    <t>Strategic management accounting</t>
  </si>
  <si>
    <t>Logistics and purchasing</t>
  </si>
  <si>
    <t>Strategy I</t>
  </si>
  <si>
    <t>Project management</t>
  </si>
  <si>
    <t>Rentabilité</t>
  </si>
  <si>
    <t>Comportement organisationnel</t>
  </si>
  <si>
    <t>Achat et logistique</t>
  </si>
  <si>
    <t>Management des systèmes d'informations</t>
  </si>
  <si>
    <t>Gestion budgétaires outils et procédures</t>
  </si>
  <si>
    <t>Environnement économique et social III</t>
  </si>
  <si>
    <t>Finance d'entreprises</t>
  </si>
  <si>
    <t>Comptabilité financière approfondie II</t>
  </si>
  <si>
    <t>Comptabilité financière approfondie I</t>
  </si>
  <si>
    <t>The Asian, 600 Million Consumer Market</t>
  </si>
  <si>
    <t xml:space="preserve">The wine industry  </t>
  </si>
  <si>
    <t xml:space="preserve">Inside the fashion revolution </t>
  </si>
  <si>
    <t xml:space="preserve">Intercultural  management </t>
  </si>
  <si>
    <t xml:space="preserve">Managing across cultures </t>
  </si>
  <si>
    <t xml:space="preserve">Branding : beyond marketing  </t>
  </si>
  <si>
    <t>Media training</t>
  </si>
  <si>
    <t>Modern language Arabic</t>
  </si>
  <si>
    <t>Modern language Chinese</t>
  </si>
  <si>
    <t>Modern language French</t>
  </si>
  <si>
    <t>Modern language German</t>
  </si>
  <si>
    <t>Modern language Italian</t>
  </si>
  <si>
    <t>Modern language Japanese</t>
  </si>
  <si>
    <t>Modern language Korean</t>
  </si>
  <si>
    <t>Modern language Portuguese</t>
  </si>
  <si>
    <t>Modern language Russian</t>
  </si>
  <si>
    <t>Modern language Spanish</t>
  </si>
  <si>
    <t>Modern language - Beginners</t>
  </si>
  <si>
    <t>Modern language - Intermediate 1</t>
  </si>
  <si>
    <t>Modern language - Intermediate 2</t>
  </si>
  <si>
    <t>Modern language - Advanced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</si>
</sst>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[$-40C]dddd\ d\ mmmm\ yyyy"/>
    <numFmt numFmtId="174" formatCode="m/d/yyyy;@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000"/>
  </numFmts>
  <fonts count="66">
    <font>
      <sz val="10"/>
      <name val="Arial"/>
      <family val="0"/>
    </font>
    <font>
      <sz val="11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strike/>
      <sz val="12"/>
      <color indexed="60"/>
      <name val="Times New Roman"/>
      <family val="1"/>
    </font>
    <font>
      <strike/>
      <sz val="8"/>
      <color indexed="60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Narrow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2"/>
      <color indexed="10"/>
      <name val="Arial Narrow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1"/>
      <color rgb="FFFF0000"/>
      <name val="Arial"/>
      <family val="2"/>
    </font>
    <font>
      <b/>
      <sz val="13.5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35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vertical="top" wrapText="1"/>
    </xf>
    <xf numFmtId="0" fontId="7" fillId="34" borderId="21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 vertical="top"/>
    </xf>
    <xf numFmtId="0" fontId="7" fillId="34" borderId="20" xfId="0" applyFont="1" applyFill="1" applyBorder="1" applyAlignment="1">
      <alignment horizontal="left" vertical="top" wrapText="1"/>
    </xf>
    <xf numFmtId="16" fontId="7" fillId="34" borderId="2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top"/>
    </xf>
    <xf numFmtId="0" fontId="7" fillId="34" borderId="21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vertical="top" wrapText="1"/>
    </xf>
    <xf numFmtId="0" fontId="6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top" wrapText="1"/>
    </xf>
    <xf numFmtId="0" fontId="7" fillId="34" borderId="28" xfId="0" applyFont="1" applyFill="1" applyBorder="1" applyAlignment="1">
      <alignment vertical="center" wrapText="1"/>
    </xf>
    <xf numFmtId="0" fontId="7" fillId="34" borderId="29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top" wrapText="1"/>
    </xf>
    <xf numFmtId="0" fontId="7" fillId="34" borderId="31" xfId="0" applyFont="1" applyFill="1" applyBorder="1" applyAlignment="1">
      <alignment horizontal="center" vertical="top" wrapText="1"/>
    </xf>
    <xf numFmtId="12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10" fillId="36" borderId="3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0" fillId="37" borderId="10" xfId="0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/>
    </xf>
    <xf numFmtId="0" fontId="6" fillId="35" borderId="3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horizontal="left" vertical="top" wrapText="1"/>
    </xf>
    <xf numFmtId="0" fontId="7" fillId="34" borderId="17" xfId="0" applyNumberFormat="1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34" borderId="21" xfId="0" applyFont="1" applyFill="1" applyBorder="1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4" borderId="17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7" fillId="34" borderId="21" xfId="0" applyFont="1" applyFill="1" applyBorder="1" applyAlignment="1" applyProtection="1">
      <alignment horizontal="left" vertical="top" wrapText="1"/>
      <protection locked="0"/>
    </xf>
    <xf numFmtId="0" fontId="12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7" fillId="34" borderId="17" xfId="0" applyFont="1" applyFill="1" applyBorder="1" applyAlignment="1">
      <alignment/>
    </xf>
    <xf numFmtId="0" fontId="7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6" fillId="35" borderId="11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vertical="top" wrapText="1" indent="1"/>
    </xf>
    <xf numFmtId="0" fontId="6" fillId="34" borderId="0" xfId="0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vertical="top" wrapText="1"/>
    </xf>
    <xf numFmtId="0" fontId="6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distributed" wrapText="1"/>
    </xf>
    <xf numFmtId="0" fontId="7" fillId="34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vertical="center" wrapText="1"/>
    </xf>
    <xf numFmtId="16" fontId="7" fillId="34" borderId="10" xfId="0" applyNumberFormat="1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left" vertical="center" wrapText="1"/>
    </xf>
    <xf numFmtId="3" fontId="7" fillId="34" borderId="0" xfId="0" applyNumberFormat="1" applyFont="1" applyFill="1" applyBorder="1" applyAlignment="1">
      <alignment/>
    </xf>
    <xf numFmtId="0" fontId="7" fillId="34" borderId="24" xfId="0" applyFont="1" applyFill="1" applyBorder="1" applyAlignment="1">
      <alignment horizontal="left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left" vertical="top" wrapText="1"/>
    </xf>
    <xf numFmtId="0" fontId="13" fillId="34" borderId="25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 wrapText="1"/>
    </xf>
    <xf numFmtId="172" fontId="6" fillId="34" borderId="13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6" fillId="33" borderId="14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 wrapText="1"/>
    </xf>
    <xf numFmtId="0" fontId="7" fillId="38" borderId="33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top"/>
    </xf>
    <xf numFmtId="1" fontId="7" fillId="0" borderId="20" xfId="0" applyNumberFormat="1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/>
    </xf>
    <xf numFmtId="0" fontId="15" fillId="0" borderId="0" xfId="0" applyFont="1" applyAlignment="1">
      <alignment/>
    </xf>
    <xf numFmtId="0" fontId="7" fillId="38" borderId="22" xfId="0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/>
    </xf>
    <xf numFmtId="0" fontId="7" fillId="38" borderId="38" xfId="0" applyFont="1" applyFill="1" applyBorder="1" applyAlignment="1">
      <alignment horizontal="left" vertical="center" wrapText="1"/>
    </xf>
    <xf numFmtId="0" fontId="7" fillId="38" borderId="33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9" xfId="0" applyFont="1" applyBorder="1" applyAlignment="1">
      <alignment horizontal="left" wrapText="1"/>
    </xf>
    <xf numFmtId="0" fontId="7" fillId="0" borderId="22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/>
    </xf>
    <xf numFmtId="0" fontId="7" fillId="38" borderId="38" xfId="0" applyFont="1" applyFill="1" applyBorder="1" applyAlignment="1">
      <alignment horizontal="left" vertical="top" wrapText="1"/>
    </xf>
    <xf numFmtId="0" fontId="7" fillId="38" borderId="33" xfId="0" applyNumberFormat="1" applyFont="1" applyFill="1" applyBorder="1" applyAlignment="1">
      <alignment horizontal="center" vertical="top"/>
    </xf>
    <xf numFmtId="0" fontId="7" fillId="0" borderId="33" xfId="0" applyNumberFormat="1" applyFont="1" applyFill="1" applyBorder="1" applyAlignment="1">
      <alignment horizontal="center" vertical="top" wrapText="1"/>
    </xf>
    <xf numFmtId="0" fontId="7" fillId="38" borderId="33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34" borderId="19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72" fontId="7" fillId="0" borderId="33" xfId="0" applyNumberFormat="1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left" vertical="center"/>
    </xf>
    <xf numFmtId="0" fontId="7" fillId="38" borderId="20" xfId="0" applyNumberFormat="1" applyFont="1" applyFill="1" applyBorder="1" applyAlignment="1">
      <alignment horizontal="center" vertical="center"/>
    </xf>
    <xf numFmtId="0" fontId="7" fillId="38" borderId="20" xfId="0" applyNumberFormat="1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left" vertical="center" wrapText="1"/>
    </xf>
    <xf numFmtId="0" fontId="7" fillId="38" borderId="20" xfId="0" applyFont="1" applyFill="1" applyBorder="1" applyAlignment="1">
      <alignment horizontal="left" vertical="center"/>
    </xf>
    <xf numFmtId="0" fontId="7" fillId="38" borderId="21" xfId="0" applyFont="1" applyFill="1" applyBorder="1" applyAlignment="1">
      <alignment horizontal="left"/>
    </xf>
    <xf numFmtId="0" fontId="17" fillId="34" borderId="0" xfId="0" applyFont="1" applyFill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left"/>
    </xf>
    <xf numFmtId="0" fontId="7" fillId="0" borderId="21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0" fontId="18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18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7" fillId="0" borderId="41" xfId="0" applyFont="1" applyBorder="1" applyAlignment="1">
      <alignment wrapText="1"/>
    </xf>
    <xf numFmtId="0" fontId="7" fillId="0" borderId="41" xfId="0" applyFont="1" applyBorder="1" applyAlignment="1">
      <alignment/>
    </xf>
    <xf numFmtId="1" fontId="14" fillId="39" borderId="10" xfId="0" applyNumberFormat="1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left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7" fillId="38" borderId="19" xfId="0" applyFont="1" applyFill="1" applyBorder="1" applyAlignment="1">
      <alignment vertical="center" wrapText="1"/>
    </xf>
    <xf numFmtId="1" fontId="7" fillId="38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/>
    </xf>
    <xf numFmtId="15" fontId="62" fillId="34" borderId="0" xfId="0" applyNumberFormat="1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4" fillId="0" borderId="0" xfId="0" applyFont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3" fillId="40" borderId="0" xfId="0" applyFont="1" applyFill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38" borderId="20" xfId="0" applyFont="1" applyFill="1" applyBorder="1" applyAlignment="1">
      <alignment horizontal="left" vertical="center" wrapText="1"/>
    </xf>
    <xf numFmtId="0" fontId="7" fillId="38" borderId="23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4" borderId="40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3" fillId="12" borderId="42" xfId="0" applyFont="1" applyFill="1" applyBorder="1" applyAlignment="1">
      <alignment horizontal="center"/>
    </xf>
    <xf numFmtId="0" fontId="65" fillId="36" borderId="43" xfId="0" applyFont="1" applyFill="1" applyBorder="1" applyAlignment="1" applyProtection="1">
      <alignment horizontal="left" vertical="center" wrapText="1"/>
      <protection locked="0"/>
    </xf>
    <xf numFmtId="0" fontId="65" fillId="36" borderId="32" xfId="0" applyFont="1" applyFill="1" applyBorder="1" applyAlignment="1" applyProtection="1">
      <alignment horizontal="left" vertical="center" wrapText="1"/>
      <protection locked="0"/>
    </xf>
    <xf numFmtId="0" fontId="10" fillId="41" borderId="10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horizontal="center" vertical="center" wrapText="1"/>
    </xf>
    <xf numFmtId="0" fontId="10" fillId="41" borderId="2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33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36" borderId="43" xfId="0" applyFont="1" applyFill="1" applyBorder="1" applyAlignment="1">
      <alignment horizontal="left" vertical="center" wrapText="1"/>
    </xf>
    <xf numFmtId="0" fontId="11" fillId="36" borderId="32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34" borderId="21" xfId="0" applyNumberFormat="1" applyFont="1" applyFill="1" applyBorder="1" applyAlignment="1">
      <alignment horizontal="left" vertical="center" wrapText="1"/>
    </xf>
    <xf numFmtId="0" fontId="7" fillId="34" borderId="44" xfId="0" applyFont="1" applyFill="1" applyBorder="1" applyAlignment="1">
      <alignment horizontal="center" vertical="top" wrapText="1"/>
    </xf>
    <xf numFmtId="0" fontId="7" fillId="34" borderId="45" xfId="0" applyFont="1" applyFill="1" applyBorder="1" applyAlignment="1">
      <alignment horizontal="center" vertical="top" wrapText="1"/>
    </xf>
    <xf numFmtId="0" fontId="3" fillId="9" borderId="0" xfId="0" applyFont="1" applyFill="1" applyAlignment="1">
      <alignment horizontal="center"/>
    </xf>
    <xf numFmtId="0" fontId="7" fillId="38" borderId="19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/>
    </xf>
    <xf numFmtId="0" fontId="3" fillId="43" borderId="0" xfId="0" applyFont="1" applyFill="1" applyAlignment="1">
      <alignment horizontal="center"/>
    </xf>
    <xf numFmtId="0" fontId="3" fillId="44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88"/>
  <sheetViews>
    <sheetView tabSelected="1" zoomScalePageLayoutView="0" workbookViewId="0" topLeftCell="A1">
      <selection activeCell="H50" sqref="H50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1.7109375" style="0" bestFit="1" customWidth="1"/>
  </cols>
  <sheetData>
    <row r="1" ht="13.5">
      <c r="B1" s="3"/>
    </row>
    <row r="2" ht="13.5">
      <c r="B2" s="3"/>
    </row>
    <row r="3" spans="1:3" ht="18">
      <c r="A3" s="309" t="s">
        <v>306</v>
      </c>
      <c r="B3" s="309"/>
      <c r="C3" s="309"/>
    </row>
    <row r="4" spans="1:2" ht="13.5">
      <c r="A4" s="26" t="s">
        <v>33</v>
      </c>
      <c r="B4" s="4"/>
    </row>
    <row r="5" ht="14.25" thickBot="1">
      <c r="B5" s="4"/>
    </row>
    <row r="6" ht="14.25" hidden="1" thickBot="1">
      <c r="B6" s="4"/>
    </row>
    <row r="7" spans="1:4" ht="28.5" customHeight="1">
      <c r="A7" s="13" t="s">
        <v>2</v>
      </c>
      <c r="B7" s="14" t="s">
        <v>0</v>
      </c>
      <c r="C7" s="16" t="s">
        <v>1</v>
      </c>
      <c r="D7" s="8"/>
    </row>
    <row r="8" spans="1:7" ht="19.5" customHeight="1">
      <c r="A8" s="23"/>
      <c r="B8" s="24" t="s">
        <v>309</v>
      </c>
      <c r="C8" s="27">
        <v>4</v>
      </c>
      <c r="D8" s="9"/>
      <c r="E8" s="310" t="s">
        <v>35</v>
      </c>
      <c r="F8" s="310"/>
      <c r="G8" s="310"/>
    </row>
    <row r="9" spans="1:5" ht="19.5" customHeight="1">
      <c r="A9" s="23"/>
      <c r="B9" s="24" t="s">
        <v>313</v>
      </c>
      <c r="C9" s="27">
        <v>4</v>
      </c>
      <c r="D9" s="9"/>
      <c r="E9" s="5"/>
    </row>
    <row r="10" spans="1:5" ht="19.5" customHeight="1">
      <c r="A10" s="25"/>
      <c r="B10" s="24" t="s">
        <v>320</v>
      </c>
      <c r="C10" s="27">
        <v>4</v>
      </c>
      <c r="D10" s="9"/>
      <c r="E10" s="5"/>
    </row>
    <row r="11" spans="1:5" ht="19.5" customHeight="1">
      <c r="A11" s="28"/>
      <c r="B11" s="24" t="s">
        <v>321</v>
      </c>
      <c r="C11" s="27">
        <v>4</v>
      </c>
      <c r="D11" s="9"/>
      <c r="E11" s="5"/>
    </row>
    <row r="12" spans="1:5" ht="19.5" customHeight="1">
      <c r="A12" s="23" t="s">
        <v>324</v>
      </c>
      <c r="B12" s="24" t="s">
        <v>23</v>
      </c>
      <c r="C12" s="27">
        <v>4</v>
      </c>
      <c r="D12" s="9"/>
      <c r="E12" s="5"/>
    </row>
    <row r="13" spans="1:5" ht="19.5" customHeight="1">
      <c r="A13" s="28"/>
      <c r="B13" s="24" t="s">
        <v>322</v>
      </c>
      <c r="C13" s="27">
        <v>4</v>
      </c>
      <c r="D13" s="9"/>
      <c r="E13" s="5"/>
    </row>
    <row r="14" spans="1:5" ht="19.5" customHeight="1">
      <c r="A14" s="28"/>
      <c r="B14" s="24" t="s">
        <v>323</v>
      </c>
      <c r="C14" s="27">
        <v>4</v>
      </c>
      <c r="D14" s="9"/>
      <c r="E14" s="5"/>
    </row>
    <row r="15" spans="1:5" ht="19.5" customHeight="1">
      <c r="A15" s="23"/>
      <c r="B15" s="24" t="s">
        <v>310</v>
      </c>
      <c r="C15" s="27">
        <v>4</v>
      </c>
      <c r="D15" s="9"/>
      <c r="E15" s="5"/>
    </row>
    <row r="16" spans="1:8" ht="19.5" customHeight="1">
      <c r="A16" s="23"/>
      <c r="B16" s="24" t="s">
        <v>5</v>
      </c>
      <c r="C16" s="27">
        <v>4</v>
      </c>
      <c r="D16" s="9"/>
      <c r="E16" s="5"/>
      <c r="H16" t="s">
        <v>8</v>
      </c>
    </row>
    <row r="17" spans="1:9" ht="19.5" customHeight="1">
      <c r="A17" s="23"/>
      <c r="B17" s="24" t="s">
        <v>312</v>
      </c>
      <c r="C17" s="27">
        <v>4</v>
      </c>
      <c r="D17" s="9"/>
      <c r="E17" s="5"/>
      <c r="I17" s="10" t="s">
        <v>8</v>
      </c>
    </row>
    <row r="18" spans="1:8" ht="19.5" customHeight="1">
      <c r="A18" s="23"/>
      <c r="B18" s="24" t="s">
        <v>317</v>
      </c>
      <c r="C18" s="27">
        <v>4</v>
      </c>
      <c r="D18" s="9"/>
      <c r="E18" s="5"/>
      <c r="H18" t="s">
        <v>8</v>
      </c>
    </row>
    <row r="19" spans="1:5" ht="19.5" customHeight="1">
      <c r="A19" s="23"/>
      <c r="B19" s="24" t="s">
        <v>31</v>
      </c>
      <c r="C19" s="27">
        <v>4</v>
      </c>
      <c r="D19" s="9"/>
      <c r="E19" s="5"/>
    </row>
    <row r="20" spans="1:5" ht="19.5" customHeight="1">
      <c r="A20" s="23"/>
      <c r="B20" s="24" t="s">
        <v>319</v>
      </c>
      <c r="C20" s="27">
        <v>4</v>
      </c>
      <c r="D20" s="9"/>
      <c r="E20" s="5"/>
    </row>
    <row r="21" spans="1:5" ht="19.5" customHeight="1">
      <c r="A21" s="23"/>
      <c r="B21" s="24" t="s">
        <v>318</v>
      </c>
      <c r="C21" s="27">
        <v>4</v>
      </c>
      <c r="D21" s="9"/>
      <c r="E21" s="5"/>
    </row>
    <row r="22" spans="1:5" ht="19.5" customHeight="1">
      <c r="A22" s="23"/>
      <c r="B22" s="24" t="s">
        <v>6</v>
      </c>
      <c r="C22" s="27">
        <v>4</v>
      </c>
      <c r="D22" s="9"/>
      <c r="E22" s="5"/>
    </row>
    <row r="23" spans="1:5" ht="19.5" customHeight="1">
      <c r="A23" s="23"/>
      <c r="B23" s="24" t="s">
        <v>314</v>
      </c>
      <c r="C23" s="27">
        <v>4</v>
      </c>
      <c r="D23" s="9"/>
      <c r="E23" s="5"/>
    </row>
    <row r="24" spans="1:5" ht="19.5" customHeight="1">
      <c r="A24" s="23"/>
      <c r="B24" s="24" t="s">
        <v>311</v>
      </c>
      <c r="C24" s="27">
        <v>4</v>
      </c>
      <c r="D24" s="9"/>
      <c r="E24" s="5"/>
    </row>
    <row r="25" spans="1:5" ht="19.5" customHeight="1">
      <c r="A25" s="307"/>
      <c r="B25" s="24" t="s">
        <v>347</v>
      </c>
      <c r="C25" s="27">
        <v>4</v>
      </c>
      <c r="D25" s="9"/>
      <c r="E25" s="5"/>
    </row>
    <row r="26" spans="1:4" ht="19.5" customHeight="1">
      <c r="A26" s="307"/>
      <c r="B26" s="24" t="s">
        <v>348</v>
      </c>
      <c r="C26" s="27">
        <v>4</v>
      </c>
      <c r="D26" s="1"/>
    </row>
    <row r="27" spans="1:4" ht="19.5" customHeight="1">
      <c r="A27" s="307"/>
      <c r="B27" s="24" t="s">
        <v>349</v>
      </c>
      <c r="C27" s="27">
        <v>4</v>
      </c>
      <c r="D27" s="1"/>
    </row>
    <row r="28" spans="1:4" ht="19.5" customHeight="1">
      <c r="A28" s="307"/>
      <c r="B28" s="24" t="s">
        <v>350</v>
      </c>
      <c r="C28" s="27">
        <v>4</v>
      </c>
      <c r="D28" s="6"/>
    </row>
    <row r="29" spans="1:4" ht="19.5" customHeight="1">
      <c r="A29" s="307"/>
      <c r="B29" s="24" t="s">
        <v>351</v>
      </c>
      <c r="C29" s="27">
        <v>4</v>
      </c>
      <c r="D29" s="1"/>
    </row>
    <row r="30" spans="1:4" ht="19.5" customHeight="1">
      <c r="A30" s="307"/>
      <c r="B30" s="24" t="s">
        <v>352</v>
      </c>
      <c r="C30" s="27">
        <v>4</v>
      </c>
      <c r="D30" s="1"/>
    </row>
    <row r="31" spans="1:4" ht="19.5" customHeight="1">
      <c r="A31" s="307"/>
      <c r="B31" s="24" t="s">
        <v>353</v>
      </c>
      <c r="C31" s="27">
        <v>4</v>
      </c>
      <c r="D31" s="1"/>
    </row>
    <row r="32" spans="1:4" ht="19.5" customHeight="1">
      <c r="A32" s="307"/>
      <c r="B32" s="24" t="s">
        <v>354</v>
      </c>
      <c r="C32" s="27">
        <v>4</v>
      </c>
      <c r="D32" s="1"/>
    </row>
    <row r="33" spans="1:4" ht="19.5" customHeight="1">
      <c r="A33" s="307"/>
      <c r="B33" s="24" t="s">
        <v>355</v>
      </c>
      <c r="C33" s="27">
        <v>4</v>
      </c>
      <c r="D33" s="1"/>
    </row>
    <row r="34" spans="1:4" ht="13.5">
      <c r="A34" s="307"/>
      <c r="B34" s="24" t="s">
        <v>356</v>
      </c>
      <c r="C34" s="27">
        <v>4</v>
      </c>
      <c r="D34" s="1"/>
    </row>
    <row r="35" spans="1:4" ht="13.5">
      <c r="A35" s="23"/>
      <c r="B35" s="24" t="s">
        <v>316</v>
      </c>
      <c r="C35" s="27">
        <v>4</v>
      </c>
      <c r="D35" s="1"/>
    </row>
    <row r="36" spans="1:4" ht="13.5">
      <c r="A36" s="23"/>
      <c r="B36" s="24" t="s">
        <v>25</v>
      </c>
      <c r="C36" s="27">
        <v>4</v>
      </c>
      <c r="D36" s="1"/>
    </row>
    <row r="37" spans="1:4" ht="13.5">
      <c r="A37" s="23"/>
      <c r="B37" s="24" t="s">
        <v>308</v>
      </c>
      <c r="C37" s="27">
        <v>4</v>
      </c>
      <c r="D37" s="1"/>
    </row>
    <row r="38" spans="1:4" ht="14.25" thickBot="1">
      <c r="A38" s="297"/>
      <c r="B38" s="29" t="s">
        <v>315</v>
      </c>
      <c r="C38" s="30">
        <v>4</v>
      </c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spans="4:6" ht="12.75">
      <c r="D45" s="1"/>
      <c r="F45" t="s">
        <v>8</v>
      </c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</sheetData>
  <sheetProtection/>
  <mergeCells count="2">
    <mergeCell ref="A3:C3"/>
    <mergeCell ref="E8:G8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  <customProperties>
    <customPr name="DVSECTION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44" sqref="N44"/>
    </sheetView>
  </sheetViews>
  <sheetFormatPr defaultColWidth="11.421875" defaultRowHeight="12.75"/>
  <cols>
    <col min="7" max="7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07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1.7109375" style="0" bestFit="1" customWidth="1"/>
  </cols>
  <sheetData>
    <row r="1" ht="13.5">
      <c r="B1" s="3"/>
    </row>
    <row r="2" ht="13.5">
      <c r="B2" s="3"/>
    </row>
    <row r="3" spans="1:3" ht="18">
      <c r="A3" s="311" t="s">
        <v>307</v>
      </c>
      <c r="B3" s="311"/>
      <c r="C3" s="311"/>
    </row>
    <row r="4" spans="1:2" ht="13.5">
      <c r="A4" s="26" t="s">
        <v>33</v>
      </c>
      <c r="B4" s="4"/>
    </row>
    <row r="5" ht="14.25" thickBot="1">
      <c r="B5" s="4"/>
    </row>
    <row r="6" ht="14.25" hidden="1" thickBot="1">
      <c r="B6" s="4"/>
    </row>
    <row r="7" spans="1:7" ht="28.5" customHeight="1">
      <c r="A7" s="13" t="s">
        <v>2</v>
      </c>
      <c r="B7" s="14" t="s">
        <v>0</v>
      </c>
      <c r="C7" s="16" t="s">
        <v>1</v>
      </c>
      <c r="D7" s="8"/>
      <c r="E7" s="310" t="s">
        <v>35</v>
      </c>
      <c r="F7" s="310"/>
      <c r="G7" s="310"/>
    </row>
    <row r="8" spans="1:5" ht="19.5" customHeight="1">
      <c r="A8" s="25"/>
      <c r="B8" s="24" t="s">
        <v>333</v>
      </c>
      <c r="C8" s="27">
        <v>4</v>
      </c>
      <c r="D8" s="9"/>
      <c r="E8" s="5"/>
    </row>
    <row r="9" spans="1:5" ht="19.5" customHeight="1">
      <c r="A9" s="23"/>
      <c r="B9" s="24" t="s">
        <v>7</v>
      </c>
      <c r="C9" s="27">
        <v>4</v>
      </c>
      <c r="D9" s="9"/>
      <c r="E9" s="5"/>
    </row>
    <row r="10" spans="1:5" ht="19.5" customHeight="1">
      <c r="A10" s="23"/>
      <c r="B10" s="24" t="s">
        <v>332</v>
      </c>
      <c r="C10" s="27">
        <v>4</v>
      </c>
      <c r="D10" s="9"/>
      <c r="E10" s="5"/>
    </row>
    <row r="11" spans="1:5" ht="19.5" customHeight="1">
      <c r="A11" s="23"/>
      <c r="B11" s="24" t="s">
        <v>339</v>
      </c>
      <c r="C11" s="27">
        <v>4</v>
      </c>
      <c r="D11" s="9"/>
      <c r="E11" s="5"/>
    </row>
    <row r="12" spans="1:5" ht="19.5" customHeight="1">
      <c r="A12" s="23"/>
      <c r="B12" s="24" t="s">
        <v>338</v>
      </c>
      <c r="C12" s="27">
        <v>4</v>
      </c>
      <c r="D12" s="9"/>
      <c r="E12" s="5"/>
    </row>
    <row r="13" spans="1:5" ht="19.5" customHeight="1">
      <c r="A13" s="23"/>
      <c r="B13" s="24" t="s">
        <v>326</v>
      </c>
      <c r="C13" s="27">
        <v>4</v>
      </c>
      <c r="D13" s="9"/>
      <c r="E13" s="5"/>
    </row>
    <row r="14" spans="1:5" ht="19.5" customHeight="1">
      <c r="A14" s="23"/>
      <c r="B14" s="24" t="s">
        <v>336</v>
      </c>
      <c r="C14" s="27">
        <v>4</v>
      </c>
      <c r="D14" s="9"/>
      <c r="E14" s="5"/>
    </row>
    <row r="15" spans="1:5" ht="19.5" customHeight="1">
      <c r="A15" s="23"/>
      <c r="B15" s="24" t="s">
        <v>337</v>
      </c>
      <c r="C15" s="27">
        <v>4</v>
      </c>
      <c r="D15" s="9"/>
      <c r="E15" s="5"/>
    </row>
    <row r="16" spans="1:5" ht="19.5" customHeight="1">
      <c r="A16" s="23"/>
      <c r="B16" s="24" t="s">
        <v>335</v>
      </c>
      <c r="C16" s="27">
        <v>4</v>
      </c>
      <c r="D16" s="9"/>
      <c r="E16" s="5"/>
    </row>
    <row r="17" spans="1:5" ht="19.5" customHeight="1">
      <c r="A17" s="23"/>
      <c r="B17" s="24" t="s">
        <v>11</v>
      </c>
      <c r="C17" s="27">
        <v>4</v>
      </c>
      <c r="D17" s="9"/>
      <c r="E17" s="5"/>
    </row>
    <row r="18" spans="1:5" ht="19.5" customHeight="1">
      <c r="A18" s="23"/>
      <c r="B18" s="24" t="s">
        <v>12</v>
      </c>
      <c r="C18" s="27">
        <v>4</v>
      </c>
      <c r="D18" s="9"/>
      <c r="E18" s="5"/>
    </row>
    <row r="19" spans="1:5" ht="19.5" customHeight="1">
      <c r="A19" s="23"/>
      <c r="B19" s="24" t="s">
        <v>13</v>
      </c>
      <c r="C19" s="27">
        <v>4</v>
      </c>
      <c r="D19" s="9"/>
      <c r="E19" s="5"/>
    </row>
    <row r="20" spans="1:5" ht="19.5" customHeight="1">
      <c r="A20" s="23"/>
      <c r="B20" s="298" t="s">
        <v>328</v>
      </c>
      <c r="C20" s="27">
        <v>4</v>
      </c>
      <c r="D20" s="9"/>
      <c r="E20" s="5"/>
    </row>
    <row r="21" spans="1:7" ht="19.5" customHeight="1">
      <c r="A21" s="23"/>
      <c r="B21" s="24" t="s">
        <v>14</v>
      </c>
      <c r="C21" s="27">
        <v>4</v>
      </c>
      <c r="D21" s="9"/>
      <c r="E21" s="5"/>
      <c r="G21" t="s">
        <v>8</v>
      </c>
    </row>
    <row r="22" spans="1:7" ht="19.5" customHeight="1">
      <c r="A22" s="23"/>
      <c r="B22" s="24" t="s">
        <v>334</v>
      </c>
      <c r="C22" s="27">
        <v>4</v>
      </c>
      <c r="D22" s="9"/>
      <c r="E22" s="5"/>
      <c r="G22" t="s">
        <v>8</v>
      </c>
    </row>
    <row r="23" spans="1:5" ht="19.5" customHeight="1">
      <c r="A23" s="23"/>
      <c r="B23" s="24" t="s">
        <v>15</v>
      </c>
      <c r="C23" s="27">
        <v>4</v>
      </c>
      <c r="D23" s="9"/>
      <c r="E23" s="5"/>
    </row>
    <row r="24" spans="1:5" ht="19.5" customHeight="1">
      <c r="A24" s="23"/>
      <c r="B24" s="24" t="s">
        <v>318</v>
      </c>
      <c r="C24" s="27">
        <v>4</v>
      </c>
      <c r="D24" s="9"/>
      <c r="E24" s="11" t="s">
        <v>8</v>
      </c>
    </row>
    <row r="25" spans="1:5" ht="19.5" customHeight="1">
      <c r="A25" s="23"/>
      <c r="B25" s="24" t="s">
        <v>325</v>
      </c>
      <c r="C25" s="27">
        <v>4</v>
      </c>
      <c r="D25" s="9"/>
      <c r="E25" s="5"/>
    </row>
    <row r="26" spans="1:5" ht="19.5" customHeight="1">
      <c r="A26" s="25"/>
      <c r="B26" s="24" t="s">
        <v>330</v>
      </c>
      <c r="C26" s="27">
        <v>4</v>
      </c>
      <c r="D26" s="9"/>
      <c r="E26" s="5"/>
    </row>
    <row r="27" spans="1:5" ht="19.5" customHeight="1">
      <c r="A27" s="23"/>
      <c r="B27" s="24" t="s">
        <v>331</v>
      </c>
      <c r="C27" s="27">
        <v>4</v>
      </c>
      <c r="D27" s="9"/>
      <c r="E27" s="5"/>
    </row>
    <row r="28" spans="1:5" ht="19.5" customHeight="1">
      <c r="A28" s="23"/>
      <c r="B28" s="24" t="s">
        <v>327</v>
      </c>
      <c r="C28" s="27">
        <v>4</v>
      </c>
      <c r="D28" s="9"/>
      <c r="E28" s="5"/>
    </row>
    <row r="29" spans="1:5" ht="19.5" customHeight="1">
      <c r="A29" s="23"/>
      <c r="B29" s="24" t="s">
        <v>16</v>
      </c>
      <c r="C29" s="27">
        <v>4</v>
      </c>
      <c r="D29" s="9"/>
      <c r="E29" s="5"/>
    </row>
    <row r="30" spans="1:5" ht="19.5" customHeight="1" thickBot="1">
      <c r="A30" s="299"/>
      <c r="B30" s="300" t="s">
        <v>329</v>
      </c>
      <c r="C30" s="301">
        <v>4</v>
      </c>
      <c r="D30" s="9"/>
      <c r="E30" s="5"/>
    </row>
    <row r="31" spans="1:5" ht="19.5" customHeight="1">
      <c r="A31" s="302" t="s">
        <v>324</v>
      </c>
      <c r="B31" s="303" t="s">
        <v>9</v>
      </c>
      <c r="C31" s="304">
        <v>4</v>
      </c>
      <c r="D31" s="9"/>
      <c r="E31" s="5"/>
    </row>
    <row r="32" spans="1:5" ht="19.5" customHeight="1">
      <c r="A32" s="305" t="s">
        <v>324</v>
      </c>
      <c r="B32" s="24" t="s">
        <v>340</v>
      </c>
      <c r="C32" s="27">
        <v>4</v>
      </c>
      <c r="D32" s="9"/>
      <c r="E32" s="5"/>
    </row>
    <row r="33" spans="1:5" ht="19.5" customHeight="1">
      <c r="A33" s="305" t="s">
        <v>324</v>
      </c>
      <c r="B33" s="24" t="s">
        <v>341</v>
      </c>
      <c r="C33" s="27">
        <v>4</v>
      </c>
      <c r="D33" s="9"/>
      <c r="E33" s="5"/>
    </row>
    <row r="34" spans="1:5" ht="19.5" customHeight="1">
      <c r="A34" s="305" t="s">
        <v>324</v>
      </c>
      <c r="B34" s="24" t="s">
        <v>342</v>
      </c>
      <c r="C34" s="27">
        <v>4</v>
      </c>
      <c r="D34" s="9"/>
      <c r="E34" s="5"/>
    </row>
    <row r="35" spans="1:5" ht="19.5" customHeight="1">
      <c r="A35" s="305" t="s">
        <v>324</v>
      </c>
      <c r="B35" s="24" t="s">
        <v>343</v>
      </c>
      <c r="C35" s="27">
        <v>4</v>
      </c>
      <c r="D35" s="9"/>
      <c r="E35" s="5"/>
    </row>
    <row r="36" spans="1:5" ht="19.5" customHeight="1">
      <c r="A36" s="305" t="s">
        <v>324</v>
      </c>
      <c r="B36" s="24" t="s">
        <v>344</v>
      </c>
      <c r="C36" s="27">
        <v>4</v>
      </c>
      <c r="D36" s="9"/>
      <c r="E36" s="5"/>
    </row>
    <row r="37" spans="1:5" ht="19.5" customHeight="1">
      <c r="A37" s="305" t="s">
        <v>324</v>
      </c>
      <c r="B37" s="24" t="s">
        <v>10</v>
      </c>
      <c r="C37" s="27">
        <v>4</v>
      </c>
      <c r="D37" s="9"/>
      <c r="E37" s="5"/>
    </row>
    <row r="38" spans="1:5" ht="19.5" customHeight="1">
      <c r="A38" s="305" t="s">
        <v>324</v>
      </c>
      <c r="B38" s="24" t="s">
        <v>34</v>
      </c>
      <c r="C38" s="27">
        <v>4</v>
      </c>
      <c r="D38" s="9"/>
      <c r="E38" s="5"/>
    </row>
    <row r="39" spans="1:7" ht="19.5" customHeight="1">
      <c r="A39" s="305" t="s">
        <v>324</v>
      </c>
      <c r="B39" s="24" t="s">
        <v>345</v>
      </c>
      <c r="C39" s="27">
        <v>4</v>
      </c>
      <c r="D39" s="9"/>
      <c r="E39" s="5"/>
      <c r="G39" t="s">
        <v>8</v>
      </c>
    </row>
    <row r="40" spans="1:5" ht="19.5" customHeight="1">
      <c r="A40" s="305" t="s">
        <v>324</v>
      </c>
      <c r="B40" s="24" t="s">
        <v>32</v>
      </c>
      <c r="C40" s="27">
        <v>4</v>
      </c>
      <c r="D40" s="9"/>
      <c r="E40" s="5"/>
    </row>
    <row r="41" spans="1:5" ht="19.5" customHeight="1" thickBot="1">
      <c r="A41" s="306" t="s">
        <v>324</v>
      </c>
      <c r="B41" s="29" t="s">
        <v>346</v>
      </c>
      <c r="C41" s="30">
        <v>4</v>
      </c>
      <c r="D41" s="9"/>
      <c r="E41" s="5"/>
    </row>
    <row r="42" spans="2:5" ht="19.5" customHeight="1">
      <c r="B42" s="2"/>
      <c r="D42" s="9"/>
      <c r="E42" s="5"/>
    </row>
    <row r="43" spans="2:5" ht="19.5" customHeight="1">
      <c r="B43" s="2"/>
      <c r="D43" s="9"/>
      <c r="E43" s="5"/>
    </row>
    <row r="44" spans="2:5" ht="19.5" customHeight="1">
      <c r="B44" s="2"/>
      <c r="D44" s="9"/>
      <c r="E44" s="5"/>
    </row>
    <row r="45" spans="2:9" ht="19.5" customHeight="1">
      <c r="B45" s="2"/>
      <c r="D45" s="9"/>
      <c r="E45" s="5"/>
      <c r="I45" t="s">
        <v>8</v>
      </c>
    </row>
    <row r="46" spans="2:6" ht="19.5" customHeight="1">
      <c r="B46" s="2"/>
      <c r="D46" s="9"/>
      <c r="E46" s="5"/>
      <c r="F46" t="s">
        <v>8</v>
      </c>
    </row>
    <row r="47" spans="2:5" ht="19.5" customHeight="1">
      <c r="B47" s="2"/>
      <c r="D47" s="9"/>
      <c r="E47" s="5"/>
    </row>
    <row r="48" spans="2:4" ht="19.5" customHeight="1">
      <c r="B48" s="2"/>
      <c r="D48" s="6"/>
    </row>
    <row r="49" spans="2:4" ht="19.5" customHeight="1">
      <c r="B49" s="2"/>
      <c r="D49" s="1"/>
    </row>
    <row r="50" spans="2:4" ht="19.5" customHeight="1">
      <c r="B50" s="2"/>
      <c r="D50" s="1"/>
    </row>
    <row r="51" spans="2:4" ht="19.5" customHeight="1">
      <c r="B51" s="2"/>
      <c r="D51" s="1"/>
    </row>
    <row r="52" spans="2:4" ht="19.5" customHeight="1">
      <c r="B52" s="2"/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</sheetData>
  <sheetProtection/>
  <mergeCells count="2">
    <mergeCell ref="A3:C3"/>
    <mergeCell ref="E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F38"/>
  <sheetViews>
    <sheetView zoomScalePageLayoutView="0" workbookViewId="0" topLeftCell="A1">
      <selection activeCell="K31" sqref="K31"/>
    </sheetView>
  </sheetViews>
  <sheetFormatPr defaultColWidth="11.421875" defaultRowHeight="12.75"/>
  <cols>
    <col min="1" max="1" width="33.00390625" style="34" customWidth="1"/>
    <col min="2" max="2" width="4.8515625" style="83" customWidth="1"/>
    <col min="3" max="3" width="3.8515625" style="83" customWidth="1"/>
    <col min="4" max="4" width="26.7109375" style="84" customWidth="1"/>
    <col min="5" max="5" width="39.00390625" style="34" customWidth="1"/>
    <col min="6" max="6" width="52.7109375" style="34" customWidth="1"/>
    <col min="7" max="9" width="11.421875" style="84" customWidth="1"/>
    <col min="10" max="16384" width="11.421875" style="34" customWidth="1"/>
  </cols>
  <sheetData>
    <row r="2" spans="1:6" ht="18.75" thickBot="1">
      <c r="A2" s="321" t="s">
        <v>26</v>
      </c>
      <c r="B2" s="321"/>
      <c r="C2" s="321"/>
      <c r="D2" s="321"/>
      <c r="E2" s="321"/>
      <c r="F2" s="321"/>
    </row>
    <row r="3" spans="1:6" ht="12.75" customHeight="1">
      <c r="A3" s="31" t="s">
        <v>36</v>
      </c>
      <c r="B3" s="32" t="s">
        <v>37</v>
      </c>
      <c r="C3" s="32" t="s">
        <v>38</v>
      </c>
      <c r="D3" s="32" t="s">
        <v>39</v>
      </c>
      <c r="E3" s="32" t="s">
        <v>40</v>
      </c>
      <c r="F3" s="33" t="s">
        <v>41</v>
      </c>
    </row>
    <row r="4" spans="1:6" ht="12.75" customHeight="1">
      <c r="A4" s="35" t="s">
        <v>42</v>
      </c>
      <c r="B4" s="36">
        <f>SUM(B5:B5)</f>
        <v>18</v>
      </c>
      <c r="C4" s="36">
        <f>SUM(C5:C5)</f>
        <v>3</v>
      </c>
      <c r="D4" s="37"/>
      <c r="E4" s="37"/>
      <c r="F4" s="38"/>
    </row>
    <row r="5" spans="1:6" ht="25.5" customHeight="1">
      <c r="A5" s="39" t="s">
        <v>43</v>
      </c>
      <c r="B5" s="40">
        <v>18</v>
      </c>
      <c r="C5" s="41">
        <v>3</v>
      </c>
      <c r="D5" s="42" t="s">
        <v>44</v>
      </c>
      <c r="E5" s="43" t="s">
        <v>45</v>
      </c>
      <c r="F5" s="44" t="s">
        <v>46</v>
      </c>
    </row>
    <row r="6" spans="1:6" ht="12.75">
      <c r="A6" s="45" t="s">
        <v>47</v>
      </c>
      <c r="B6" s="46">
        <f>SUM(B7:B9)</f>
        <v>39</v>
      </c>
      <c r="C6" s="47">
        <f>SUM(C7:C9)</f>
        <v>6</v>
      </c>
      <c r="D6" s="48"/>
      <c r="E6" s="49"/>
      <c r="F6" s="50"/>
    </row>
    <row r="7" spans="1:6" ht="12.75" customHeight="1">
      <c r="A7" s="39" t="s">
        <v>48</v>
      </c>
      <c r="B7" s="40">
        <v>21</v>
      </c>
      <c r="C7" s="40">
        <v>3</v>
      </c>
      <c r="D7" s="43" t="s">
        <v>49</v>
      </c>
      <c r="E7" s="42" t="s">
        <v>50</v>
      </c>
      <c r="F7" s="51" t="s">
        <v>51</v>
      </c>
    </row>
    <row r="8" spans="1:6" ht="12.75" customHeight="1">
      <c r="A8" s="39"/>
      <c r="B8" s="40"/>
      <c r="C8" s="40"/>
      <c r="D8" s="43"/>
      <c r="E8" s="42" t="s">
        <v>52</v>
      </c>
      <c r="F8" s="51" t="s">
        <v>53</v>
      </c>
    </row>
    <row r="9" spans="1:6" ht="12.75" customHeight="1">
      <c r="A9" s="52" t="s">
        <v>54</v>
      </c>
      <c r="B9" s="40">
        <v>18</v>
      </c>
      <c r="C9" s="41">
        <v>3</v>
      </c>
      <c r="D9" s="53" t="s">
        <v>55</v>
      </c>
      <c r="E9" s="42" t="s">
        <v>56</v>
      </c>
      <c r="F9" s="51" t="s">
        <v>57</v>
      </c>
    </row>
    <row r="10" spans="1:6" ht="12.75" customHeight="1">
      <c r="A10" s="35" t="s">
        <v>58</v>
      </c>
      <c r="B10" s="36">
        <f>SUM(B11:B11)</f>
        <v>27</v>
      </c>
      <c r="C10" s="36">
        <f>SUM(C11:C11)</f>
        <v>4</v>
      </c>
      <c r="D10" s="54"/>
      <c r="E10" s="55"/>
      <c r="F10" s="56"/>
    </row>
    <row r="11" spans="1:6" ht="25.5" customHeight="1">
      <c r="A11" s="57" t="s">
        <v>59</v>
      </c>
      <c r="B11" s="40">
        <v>27</v>
      </c>
      <c r="C11" s="41">
        <v>4</v>
      </c>
      <c r="D11" s="53" t="s">
        <v>44</v>
      </c>
      <c r="E11" s="58" t="s">
        <v>45</v>
      </c>
      <c r="F11" s="44" t="s">
        <v>46</v>
      </c>
    </row>
    <row r="12" spans="1:6" ht="12.75" customHeight="1">
      <c r="A12" s="35" t="s">
        <v>60</v>
      </c>
      <c r="B12" s="36">
        <f>SUM(B13:B14)</f>
        <v>42</v>
      </c>
      <c r="C12" s="36">
        <f>SUM(C13:C14)</f>
        <v>6</v>
      </c>
      <c r="D12" s="54"/>
      <c r="E12" s="55"/>
      <c r="F12" s="56"/>
    </row>
    <row r="13" spans="1:6" ht="12.75">
      <c r="A13" s="52" t="s">
        <v>61</v>
      </c>
      <c r="B13" s="40">
        <v>42</v>
      </c>
      <c r="C13" s="40">
        <v>6</v>
      </c>
      <c r="D13" s="53" t="s">
        <v>62</v>
      </c>
      <c r="E13" s="59" t="s">
        <v>63</v>
      </c>
      <c r="F13" s="44" t="s">
        <v>64</v>
      </c>
    </row>
    <row r="14" spans="1:6" ht="12.75" customHeight="1">
      <c r="A14" s="52"/>
      <c r="B14" s="40"/>
      <c r="C14" s="40"/>
      <c r="D14" s="53"/>
      <c r="E14" s="58"/>
      <c r="F14" s="44" t="s">
        <v>65</v>
      </c>
    </row>
    <row r="15" spans="1:6" ht="12.75" customHeight="1">
      <c r="A15" s="35" t="s">
        <v>66</v>
      </c>
      <c r="B15" s="46">
        <f>SUM(B16:B20)</f>
        <v>75</v>
      </c>
      <c r="C15" s="46">
        <f>SUM(C16:C20)</f>
        <v>11</v>
      </c>
      <c r="D15" s="60"/>
      <c r="E15" s="60"/>
      <c r="F15" s="61"/>
    </row>
    <row r="16" spans="1:6" ht="12.75" customHeight="1">
      <c r="A16" s="52" t="s">
        <v>67</v>
      </c>
      <c r="B16" s="40">
        <v>18</v>
      </c>
      <c r="C16" s="40">
        <v>3</v>
      </c>
      <c r="D16" s="53" t="s">
        <v>68</v>
      </c>
      <c r="E16" s="42" t="s">
        <v>69</v>
      </c>
      <c r="F16" s="51" t="s">
        <v>70</v>
      </c>
    </row>
    <row r="17" spans="1:6" ht="25.5" customHeight="1">
      <c r="A17" s="39" t="s">
        <v>71</v>
      </c>
      <c r="B17" s="40">
        <v>27</v>
      </c>
      <c r="C17" s="40">
        <v>4</v>
      </c>
      <c r="D17" s="42" t="s">
        <v>72</v>
      </c>
      <c r="E17" s="43" t="s">
        <v>45</v>
      </c>
      <c r="F17" s="44" t="s">
        <v>46</v>
      </c>
    </row>
    <row r="18" spans="1:6" ht="25.5" customHeight="1">
      <c r="A18" s="39"/>
      <c r="B18" s="40"/>
      <c r="C18" s="40"/>
      <c r="D18" s="42" t="s">
        <v>73</v>
      </c>
      <c r="E18" s="43" t="s">
        <v>74</v>
      </c>
      <c r="F18" s="44" t="s">
        <v>75</v>
      </c>
    </row>
    <row r="19" spans="1:6" ht="25.5" customHeight="1">
      <c r="A19" s="39" t="s">
        <v>76</v>
      </c>
      <c r="B19" s="62">
        <v>15</v>
      </c>
      <c r="C19" s="41">
        <v>2</v>
      </c>
      <c r="D19" s="53" t="s">
        <v>77</v>
      </c>
      <c r="E19" s="58" t="s">
        <v>78</v>
      </c>
      <c r="F19" s="44" t="s">
        <v>79</v>
      </c>
    </row>
    <row r="20" spans="1:6" ht="25.5">
      <c r="A20" s="39" t="s">
        <v>80</v>
      </c>
      <c r="B20" s="62">
        <v>15</v>
      </c>
      <c r="C20" s="41">
        <v>2</v>
      </c>
      <c r="D20" s="53" t="s">
        <v>77</v>
      </c>
      <c r="E20" s="58" t="s">
        <v>78</v>
      </c>
      <c r="F20" s="44" t="s">
        <v>79</v>
      </c>
    </row>
    <row r="21" spans="1:6" ht="12.75" customHeight="1">
      <c r="A21" s="45" t="s">
        <v>81</v>
      </c>
      <c r="B21" s="46">
        <f>SUM(B22:B23)</f>
        <v>67.5</v>
      </c>
      <c r="C21" s="46">
        <v>10</v>
      </c>
      <c r="D21" s="48"/>
      <c r="E21" s="60"/>
      <c r="F21" s="61"/>
    </row>
    <row r="22" spans="1:6" ht="12.75" customHeight="1">
      <c r="A22" s="52" t="s">
        <v>82</v>
      </c>
      <c r="B22" s="40">
        <v>25.5</v>
      </c>
      <c r="C22" s="63">
        <v>4</v>
      </c>
      <c r="D22" s="53" t="s">
        <v>83</v>
      </c>
      <c r="E22" s="58" t="s">
        <v>84</v>
      </c>
      <c r="F22" s="44" t="s">
        <v>57</v>
      </c>
    </row>
    <row r="23" spans="1:6" ht="12.75" customHeight="1">
      <c r="A23" s="64" t="s">
        <v>85</v>
      </c>
      <c r="B23" s="65">
        <v>42</v>
      </c>
      <c r="C23" s="65">
        <v>6</v>
      </c>
      <c r="D23" s="53" t="s">
        <v>62</v>
      </c>
      <c r="E23" s="59" t="s">
        <v>63</v>
      </c>
      <c r="F23" s="44" t="s">
        <v>64</v>
      </c>
    </row>
    <row r="24" spans="1:6" ht="12.75">
      <c r="A24" s="66"/>
      <c r="B24" s="66"/>
      <c r="C24" s="66"/>
      <c r="D24" s="66"/>
      <c r="E24" s="66"/>
      <c r="F24" s="44" t="s">
        <v>65</v>
      </c>
    </row>
    <row r="25" spans="1:6" ht="12.75" customHeight="1">
      <c r="A25" s="45" t="s">
        <v>86</v>
      </c>
      <c r="B25" s="67">
        <f>SUM(B26:B30)</f>
        <v>18</v>
      </c>
      <c r="C25" s="47">
        <f>SUM(C26:C30)</f>
        <v>20</v>
      </c>
      <c r="D25" s="48"/>
      <c r="E25" s="60"/>
      <c r="F25" s="61"/>
    </row>
    <row r="26" spans="1:6" ht="12.75">
      <c r="A26" s="39" t="s">
        <v>87</v>
      </c>
      <c r="B26" s="62"/>
      <c r="C26" s="41">
        <v>6</v>
      </c>
      <c r="D26" s="53"/>
      <c r="E26" s="58"/>
      <c r="F26" s="44"/>
    </row>
    <row r="27" spans="1:6" ht="25.5" customHeight="1">
      <c r="A27" s="39" t="s">
        <v>88</v>
      </c>
      <c r="B27" s="40">
        <v>6</v>
      </c>
      <c r="C27" s="41">
        <v>12</v>
      </c>
      <c r="D27" s="42" t="s">
        <v>89</v>
      </c>
      <c r="E27" s="43" t="s">
        <v>45</v>
      </c>
      <c r="F27" s="44" t="s">
        <v>46</v>
      </c>
    </row>
    <row r="28" spans="1:6" ht="12.75">
      <c r="A28" s="39" t="s">
        <v>90</v>
      </c>
      <c r="B28" s="40"/>
      <c r="C28" s="41"/>
      <c r="D28" s="42"/>
      <c r="E28" s="43"/>
      <c r="F28" s="68"/>
    </row>
    <row r="29" spans="1:6" ht="12.75" customHeight="1">
      <c r="A29" s="52" t="s">
        <v>91</v>
      </c>
      <c r="B29" s="40">
        <v>6</v>
      </c>
      <c r="C29" s="41">
        <v>2</v>
      </c>
      <c r="D29" s="312" t="s">
        <v>92</v>
      </c>
      <c r="E29" s="314" t="s">
        <v>93</v>
      </c>
      <c r="F29" s="316" t="s">
        <v>94</v>
      </c>
    </row>
    <row r="30" spans="1:6" ht="12.75" customHeight="1">
      <c r="A30" s="70" t="s">
        <v>95</v>
      </c>
      <c r="B30" s="71">
        <v>6</v>
      </c>
      <c r="C30" s="72"/>
      <c r="D30" s="313"/>
      <c r="E30" s="315"/>
      <c r="F30" s="317"/>
    </row>
    <row r="31" spans="1:6" ht="12.75" customHeight="1" thickBot="1">
      <c r="A31" s="73" t="s">
        <v>96</v>
      </c>
      <c r="B31" s="74">
        <f>B4+B6+B10+B12+B15+B21+B25</f>
        <v>286.5</v>
      </c>
      <c r="C31" s="74">
        <f>C4+C6+C10+C12+C15+C21+C25</f>
        <v>60</v>
      </c>
      <c r="D31" s="75"/>
      <c r="E31" s="76"/>
      <c r="F31" s="77"/>
    </row>
    <row r="32" spans="1:6" ht="12.75" customHeight="1" thickBot="1">
      <c r="A32" s="78"/>
      <c r="B32" s="79"/>
      <c r="C32" s="79"/>
      <c r="D32" s="80"/>
      <c r="E32" s="80"/>
      <c r="F32" s="81"/>
    </row>
    <row r="33" spans="1:6" ht="12.75" customHeight="1" thickBot="1">
      <c r="A33" s="318" t="s">
        <v>97</v>
      </c>
      <c r="B33" s="319"/>
      <c r="C33" s="319"/>
      <c r="D33" s="319"/>
      <c r="E33" s="319"/>
      <c r="F33" s="320"/>
    </row>
    <row r="34" ht="12.75" customHeight="1">
      <c r="B34" s="82"/>
    </row>
    <row r="35" spans="1:2" ht="12.75" customHeight="1">
      <c r="A35" s="294" t="s">
        <v>33</v>
      </c>
      <c r="B35" s="82"/>
    </row>
    <row r="36" ht="12.75" customHeight="1">
      <c r="B36" s="82"/>
    </row>
    <row r="37" ht="12.75" customHeight="1">
      <c r="B37" s="82"/>
    </row>
    <row r="38" ht="12.75" customHeight="1">
      <c r="B38" s="82"/>
    </row>
  </sheetData>
  <sheetProtection/>
  <mergeCells count="5">
    <mergeCell ref="D29:D30"/>
    <mergeCell ref="E29:E30"/>
    <mergeCell ref="F29:F30"/>
    <mergeCell ref="A33:F33"/>
    <mergeCell ref="A2:F2"/>
  </mergeCells>
  <printOptions/>
  <pageMargins left="0.787401575" right="0.787401575" top="0.984251969" bottom="0.984251969" header="0.4921259845" footer="0.492125984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"/>
  <sheetViews>
    <sheetView zoomScalePageLayoutView="0" workbookViewId="0" topLeftCell="A1">
      <selection activeCell="HN2" sqref="HN2"/>
    </sheetView>
  </sheetViews>
  <sheetFormatPr defaultColWidth="11.421875" defaultRowHeight="12.75"/>
  <sheetData>
    <row r="1" spans="1:256" ht="12.75">
      <c r="A1">
        <f>IF('YEAR 1'!1:1,"AAAAAEX9PwA=",0)</f>
        <v>0</v>
      </c>
      <c r="B1" t="e">
        <f>AND('YEAR 1'!A1,"AAAAAEX9PwE=")</f>
        <v>#VALUE!</v>
      </c>
      <c r="C1" t="e">
        <f>AND('YEAR 1'!B1,"AAAAAEX9PwI=")</f>
        <v>#VALUE!</v>
      </c>
      <c r="D1" t="e">
        <f>AND('YEAR 1'!#REF!,"AAAAAEX9PwM=")</f>
        <v>#REF!</v>
      </c>
      <c r="E1" t="e">
        <f>AND('YEAR 1'!#REF!,"AAAAAEX9PwQ=")</f>
        <v>#REF!</v>
      </c>
      <c r="F1" t="e">
        <f>AND('YEAR 1'!#REF!,"AAAAAEX9PwU=")</f>
        <v>#REF!</v>
      </c>
      <c r="G1" t="e">
        <f>AND('YEAR 1'!C1,"AAAAAEX9PwY=")</f>
        <v>#VALUE!</v>
      </c>
      <c r="H1" t="e">
        <f>AND('YEAR 1'!D1,"AAAAAEX9Pwc=")</f>
        <v>#VALUE!</v>
      </c>
      <c r="I1" t="e">
        <f>AND('YEAR 1'!E1,"AAAAAEX9Pwg=")</f>
        <v>#VALUE!</v>
      </c>
      <c r="J1">
        <f>IF('YEAR 1'!2:2,"AAAAAEX9Pwk=",0)</f>
        <v>0</v>
      </c>
      <c r="K1" t="e">
        <f>AND('YEAR 1'!A2,"AAAAAEX9Pwo=")</f>
        <v>#VALUE!</v>
      </c>
      <c r="L1" t="e">
        <f>AND('YEAR 1'!B2,"AAAAAEX9Pws=")</f>
        <v>#VALUE!</v>
      </c>
      <c r="M1" t="e">
        <f>AND('YEAR 1'!#REF!,"AAAAAEX9Pww=")</f>
        <v>#REF!</v>
      </c>
      <c r="N1" t="e">
        <f>AND('YEAR 1'!#REF!,"AAAAAEX9Pw0=")</f>
        <v>#REF!</v>
      </c>
      <c r="O1" t="e">
        <f>AND('YEAR 1'!#REF!,"AAAAAEX9Pw4=")</f>
        <v>#REF!</v>
      </c>
      <c r="P1" t="e">
        <f>AND('YEAR 1'!C2,"AAAAAEX9Pw8=")</f>
        <v>#VALUE!</v>
      </c>
      <c r="Q1" t="e">
        <f>AND('YEAR 1'!D2,"AAAAAEX9PxA=")</f>
        <v>#VALUE!</v>
      </c>
      <c r="R1" t="e">
        <f>AND('YEAR 1'!E2,"AAAAAEX9PxE=")</f>
        <v>#VALUE!</v>
      </c>
      <c r="S1" t="e">
        <f>IF('YEAR 1'!#REF!,"AAAAAEX9PxI=",0)</f>
        <v>#REF!</v>
      </c>
      <c r="T1" t="e">
        <f>AND('YEAR 1'!#REF!,"AAAAAEX9PxM=")</f>
        <v>#REF!</v>
      </c>
      <c r="U1" t="e">
        <f>AND('YEAR 1'!#REF!,"AAAAAEX9PxQ=")</f>
        <v>#REF!</v>
      </c>
      <c r="V1" t="e">
        <f>AND('YEAR 1'!#REF!,"AAAAAEX9PxU=")</f>
        <v>#REF!</v>
      </c>
      <c r="W1" t="e">
        <f>AND('YEAR 1'!#REF!,"AAAAAEX9PxY=")</f>
        <v>#REF!</v>
      </c>
      <c r="X1" t="e">
        <f>AND('YEAR 1'!#REF!,"AAAAAEX9Pxc=")</f>
        <v>#REF!</v>
      </c>
      <c r="Y1" t="e">
        <f>AND('YEAR 1'!#REF!,"AAAAAEX9Pxg=")</f>
        <v>#REF!</v>
      </c>
      <c r="Z1" t="e">
        <f>AND('YEAR 1'!#REF!,"AAAAAEX9Pxk=")</f>
        <v>#REF!</v>
      </c>
      <c r="AA1" t="e">
        <f>AND('YEAR 1'!#REF!,"AAAAAEX9Pxo=")</f>
        <v>#REF!</v>
      </c>
      <c r="AB1" t="e">
        <f>IF('YEAR 1'!#REF!,"AAAAAEX9Pxs=",0)</f>
        <v>#REF!</v>
      </c>
      <c r="AC1" t="e">
        <f>AND('YEAR 1'!#REF!,"AAAAAEX9Pxw=")</f>
        <v>#REF!</v>
      </c>
      <c r="AD1" t="e">
        <f>AND('YEAR 1'!#REF!,"AAAAAEX9Px0=")</f>
        <v>#REF!</v>
      </c>
      <c r="AE1" t="e">
        <f>AND('YEAR 1'!#REF!,"AAAAAEX9Px4=")</f>
        <v>#REF!</v>
      </c>
      <c r="AF1" t="e">
        <f>AND('YEAR 1'!#REF!,"AAAAAEX9Px8=")</f>
        <v>#REF!</v>
      </c>
      <c r="AG1" t="e">
        <f>AND('YEAR 1'!#REF!,"AAAAAEX9PyA=")</f>
        <v>#REF!</v>
      </c>
      <c r="AH1" t="e">
        <f>AND('YEAR 1'!#REF!,"AAAAAEX9PyE=")</f>
        <v>#REF!</v>
      </c>
      <c r="AI1" t="e">
        <f>AND('YEAR 1'!#REF!,"AAAAAEX9PyI=")</f>
        <v>#REF!</v>
      </c>
      <c r="AJ1" t="e">
        <f>AND('YEAR 1'!#REF!,"AAAAAEX9PyM=")</f>
        <v>#REF!</v>
      </c>
      <c r="AK1" t="e">
        <f>IF('YEAR 1'!#REF!,"AAAAAEX9PyQ=",0)</f>
        <v>#REF!</v>
      </c>
      <c r="AL1" t="e">
        <f>AND('YEAR 1'!#REF!,"AAAAAEX9PyU=")</f>
        <v>#REF!</v>
      </c>
      <c r="AM1" t="e">
        <f>AND('YEAR 1'!#REF!,"AAAAAEX9PyY=")</f>
        <v>#REF!</v>
      </c>
      <c r="AN1" t="e">
        <f>AND('YEAR 1'!#REF!,"AAAAAEX9Pyc=")</f>
        <v>#REF!</v>
      </c>
      <c r="AO1" t="e">
        <f>AND('YEAR 1'!#REF!,"AAAAAEX9Pyg=")</f>
        <v>#REF!</v>
      </c>
      <c r="AP1" t="e">
        <f>AND('YEAR 1'!#REF!,"AAAAAEX9Pyk=")</f>
        <v>#REF!</v>
      </c>
      <c r="AQ1" t="e">
        <f>AND('YEAR 1'!#REF!,"AAAAAEX9Pyo=")</f>
        <v>#REF!</v>
      </c>
      <c r="AR1" t="e">
        <f>AND('YEAR 1'!#REF!,"AAAAAEX9Pys=")</f>
        <v>#REF!</v>
      </c>
      <c r="AS1" t="e">
        <f>AND('YEAR 1'!#REF!,"AAAAAEX9Pyw=")</f>
        <v>#REF!</v>
      </c>
      <c r="AT1" t="e">
        <f>IF('YEAR 1'!#REF!,"AAAAAEX9Py0=",0)</f>
        <v>#REF!</v>
      </c>
      <c r="AU1" t="e">
        <f>AND('YEAR 1'!#REF!,"AAAAAEX9Py4=")</f>
        <v>#REF!</v>
      </c>
      <c r="AV1" t="e">
        <f>AND('YEAR 1'!#REF!,"AAAAAEX9Py8=")</f>
        <v>#REF!</v>
      </c>
      <c r="AW1" t="e">
        <f>AND('YEAR 1'!#REF!,"AAAAAEX9PzA=")</f>
        <v>#REF!</v>
      </c>
      <c r="AX1" t="e">
        <f>AND('YEAR 1'!#REF!,"AAAAAEX9PzE=")</f>
        <v>#REF!</v>
      </c>
      <c r="AY1" t="e">
        <f>AND('YEAR 1'!#REF!,"AAAAAEX9PzI=")</f>
        <v>#REF!</v>
      </c>
      <c r="AZ1" t="e">
        <f>AND('YEAR 1'!#REF!,"AAAAAEX9PzM=")</f>
        <v>#REF!</v>
      </c>
      <c r="BA1" t="e">
        <f>AND('YEAR 1'!#REF!,"AAAAAEX9PzQ=")</f>
        <v>#REF!</v>
      </c>
      <c r="BB1" t="e">
        <f>AND('YEAR 1'!#REF!,"AAAAAEX9PzU=")</f>
        <v>#REF!</v>
      </c>
      <c r="BC1" t="e">
        <f>IF('YEAR 1'!#REF!,"AAAAAEX9PzY=",0)</f>
        <v>#REF!</v>
      </c>
      <c r="BD1" t="e">
        <f>AND('YEAR 1'!#REF!,"AAAAAEX9Pzc=")</f>
        <v>#REF!</v>
      </c>
      <c r="BE1" t="e">
        <f>AND('YEAR 1'!#REF!,"AAAAAEX9Pzg=")</f>
        <v>#REF!</v>
      </c>
      <c r="BF1" t="e">
        <f>AND('YEAR 1'!#REF!,"AAAAAEX9Pzk=")</f>
        <v>#REF!</v>
      </c>
      <c r="BG1" t="e">
        <f>AND('YEAR 1'!#REF!,"AAAAAEX9Pzo=")</f>
        <v>#REF!</v>
      </c>
      <c r="BH1" t="e">
        <f>AND('YEAR 1'!#REF!,"AAAAAEX9Pzs=")</f>
        <v>#REF!</v>
      </c>
      <c r="BI1" t="e">
        <f>AND('YEAR 1'!#REF!,"AAAAAEX9Pzw=")</f>
        <v>#REF!</v>
      </c>
      <c r="BJ1" t="e">
        <f>AND('YEAR 1'!#REF!,"AAAAAEX9Pz0=")</f>
        <v>#REF!</v>
      </c>
      <c r="BK1" t="e">
        <f>AND('YEAR 1'!#REF!,"AAAAAEX9Pz4=")</f>
        <v>#REF!</v>
      </c>
      <c r="BL1" t="e">
        <f>IF('YEAR 1'!#REF!,"AAAAAEX9Pz8=",0)</f>
        <v>#REF!</v>
      </c>
      <c r="BM1" t="e">
        <f>AND('YEAR 1'!#REF!,"AAAAAEX9P0A=")</f>
        <v>#REF!</v>
      </c>
      <c r="BN1" t="e">
        <f>AND('YEAR 1'!#REF!,"AAAAAEX9P0E=")</f>
        <v>#REF!</v>
      </c>
      <c r="BO1" t="e">
        <f>AND('YEAR 1'!#REF!,"AAAAAEX9P0I=")</f>
        <v>#REF!</v>
      </c>
      <c r="BP1" t="e">
        <f>AND('YEAR 1'!#REF!,"AAAAAEX9P0M=")</f>
        <v>#REF!</v>
      </c>
      <c r="BQ1" t="e">
        <f>AND('YEAR 1'!#REF!,"AAAAAEX9P0Q=")</f>
        <v>#REF!</v>
      </c>
      <c r="BR1" t="e">
        <f>AND('YEAR 1'!#REF!,"AAAAAEX9P0U=")</f>
        <v>#REF!</v>
      </c>
      <c r="BS1" t="e">
        <f>AND('YEAR 1'!#REF!,"AAAAAEX9P0Y=")</f>
        <v>#REF!</v>
      </c>
      <c r="BT1" t="e">
        <f>AND('YEAR 1'!#REF!,"AAAAAEX9P0c=")</f>
        <v>#REF!</v>
      </c>
      <c r="BU1" t="e">
        <f>IF('YEAR 1'!#REF!,"AAAAAEX9P0g=",0)</f>
        <v>#REF!</v>
      </c>
      <c r="BV1" t="e">
        <f>AND('YEAR 1'!#REF!,"AAAAAEX9P0k=")</f>
        <v>#REF!</v>
      </c>
      <c r="BW1" t="e">
        <f>AND('YEAR 1'!#REF!,"AAAAAEX9P0o=")</f>
        <v>#REF!</v>
      </c>
      <c r="BX1" t="e">
        <f>AND('YEAR 1'!#REF!,"AAAAAEX9P0s=")</f>
        <v>#REF!</v>
      </c>
      <c r="BY1" t="e">
        <f>AND('YEAR 1'!#REF!,"AAAAAEX9P0w=")</f>
        <v>#REF!</v>
      </c>
      <c r="BZ1" t="e">
        <f>AND('YEAR 1'!#REF!,"AAAAAEX9P00=")</f>
        <v>#REF!</v>
      </c>
      <c r="CA1" t="e">
        <f>AND('YEAR 1'!#REF!,"AAAAAEX9P04=")</f>
        <v>#REF!</v>
      </c>
      <c r="CB1" t="e">
        <f>AND('YEAR 1'!#REF!,"AAAAAEX9P08=")</f>
        <v>#REF!</v>
      </c>
      <c r="CC1" t="e">
        <f>AND('YEAR 1'!#REF!,"AAAAAEX9P1A=")</f>
        <v>#REF!</v>
      </c>
      <c r="CD1" t="e">
        <f>IF('YEAR 1'!#REF!,"AAAAAEX9P1E=",0)</f>
        <v>#REF!</v>
      </c>
      <c r="CE1" t="e">
        <f>AND('YEAR 1'!#REF!,"AAAAAEX9P1I=")</f>
        <v>#REF!</v>
      </c>
      <c r="CF1" t="e">
        <f>AND('YEAR 1'!#REF!,"AAAAAEX9P1M=")</f>
        <v>#REF!</v>
      </c>
      <c r="CG1" t="e">
        <f>AND('YEAR 1'!#REF!,"AAAAAEX9P1Q=")</f>
        <v>#REF!</v>
      </c>
      <c r="CH1" t="e">
        <f>AND('YEAR 1'!#REF!,"AAAAAEX9P1U=")</f>
        <v>#REF!</v>
      </c>
      <c r="CI1" t="e">
        <f>AND('YEAR 1'!#REF!,"AAAAAEX9P1Y=")</f>
        <v>#REF!</v>
      </c>
      <c r="CJ1" t="e">
        <f>AND('YEAR 1'!#REF!,"AAAAAEX9P1c=")</f>
        <v>#REF!</v>
      </c>
      <c r="CK1" t="e">
        <f>AND('YEAR 1'!#REF!,"AAAAAEX9P1g=")</f>
        <v>#REF!</v>
      </c>
      <c r="CL1" t="e">
        <f>AND('YEAR 1'!#REF!,"AAAAAEX9P1k=")</f>
        <v>#REF!</v>
      </c>
      <c r="CM1" t="e">
        <f>IF('YEAR 1'!#REF!,"AAAAAEX9P1o=",0)</f>
        <v>#REF!</v>
      </c>
      <c r="CN1" t="e">
        <f>AND('YEAR 1'!#REF!,"AAAAAEX9P1s=")</f>
        <v>#REF!</v>
      </c>
      <c r="CO1" t="e">
        <f>AND('YEAR 1'!#REF!,"AAAAAEX9P1w=")</f>
        <v>#REF!</v>
      </c>
      <c r="CP1" t="e">
        <f>AND('YEAR 1'!#REF!,"AAAAAEX9P10=")</f>
        <v>#REF!</v>
      </c>
      <c r="CQ1" t="e">
        <f>AND('YEAR 1'!#REF!,"AAAAAEX9P14=")</f>
        <v>#REF!</v>
      </c>
      <c r="CR1" t="e">
        <f>AND('YEAR 1'!#REF!,"AAAAAEX9P18=")</f>
        <v>#REF!</v>
      </c>
      <c r="CS1" t="e">
        <f>AND('YEAR 1'!#REF!,"AAAAAEX9P2A=")</f>
        <v>#REF!</v>
      </c>
      <c r="CT1" t="e">
        <f>AND('YEAR 1'!#REF!,"AAAAAEX9P2E=")</f>
        <v>#REF!</v>
      </c>
      <c r="CU1" t="e">
        <f>AND('YEAR 1'!#REF!,"AAAAAEX9P2I=")</f>
        <v>#REF!</v>
      </c>
      <c r="CV1">
        <f>IF('YEAR 1'!3:3,"AAAAAEX9P2M=",0)</f>
        <v>0</v>
      </c>
      <c r="CW1" t="e">
        <f>AND('YEAR 1'!#REF!,"AAAAAEX9P2Q=")</f>
        <v>#REF!</v>
      </c>
      <c r="CX1" t="e">
        <f>AND('YEAR 1'!A3,"AAAAAEX9P2U=")</f>
        <v>#VALUE!</v>
      </c>
      <c r="CY1" t="e">
        <f>AND('YEAR 1'!#REF!,"AAAAAEX9P2Y=")</f>
        <v>#REF!</v>
      </c>
      <c r="CZ1" t="e">
        <f>AND('YEAR 1'!#REF!,"AAAAAEX9P2c=")</f>
        <v>#REF!</v>
      </c>
      <c r="DA1" t="e">
        <f>AND('YEAR 1'!#REF!,"AAAAAEX9P2g=")</f>
        <v>#REF!</v>
      </c>
      <c r="DB1" t="e">
        <f>AND('YEAR 1'!C3,"AAAAAEX9P2k=")</f>
        <v>#VALUE!</v>
      </c>
      <c r="DC1" t="e">
        <f>AND('YEAR 1'!D3,"AAAAAEX9P2o=")</f>
        <v>#VALUE!</v>
      </c>
      <c r="DD1" t="e">
        <f>AND('YEAR 1'!E3,"AAAAAEX9P2s=")</f>
        <v>#VALUE!</v>
      </c>
      <c r="DE1">
        <f>IF('YEAR 1'!4:4,"AAAAAEX9P2w=",0)</f>
        <v>0</v>
      </c>
      <c r="DF1" t="e">
        <f>AND('YEAR 1'!A4,"AAAAAEX9P20=")</f>
        <v>#VALUE!</v>
      </c>
      <c r="DG1" t="e">
        <f>AND('YEAR 1'!B4,"AAAAAEX9P24=")</f>
        <v>#VALUE!</v>
      </c>
      <c r="DH1" t="e">
        <f>AND('YEAR 1'!#REF!,"AAAAAEX9P28=")</f>
        <v>#REF!</v>
      </c>
      <c r="DI1" t="e">
        <f>AND('YEAR 1'!#REF!,"AAAAAEX9P3A=")</f>
        <v>#REF!</v>
      </c>
      <c r="DJ1" t="e">
        <f>AND('YEAR 1'!#REF!,"AAAAAEX9P3E=")</f>
        <v>#REF!</v>
      </c>
      <c r="DK1" t="e">
        <f>AND('YEAR 1'!C4,"AAAAAEX9P3I=")</f>
        <v>#VALUE!</v>
      </c>
      <c r="DL1" t="e">
        <f>AND('YEAR 1'!D4,"AAAAAEX9P3M=")</f>
        <v>#VALUE!</v>
      </c>
      <c r="DM1" t="e">
        <f>AND('YEAR 1'!E4,"AAAAAEX9P3Q=")</f>
        <v>#VALUE!</v>
      </c>
      <c r="DN1">
        <f>IF('YEAR 1'!5:5,"AAAAAEX9P3U=",0)</f>
        <v>0</v>
      </c>
      <c r="DO1" t="e">
        <f>AND('YEAR 1'!A5,"AAAAAEX9P3Y=")</f>
        <v>#VALUE!</v>
      </c>
      <c r="DP1" t="e">
        <f>AND('YEAR 1'!B5,"AAAAAEX9P3c=")</f>
        <v>#VALUE!</v>
      </c>
      <c r="DQ1" t="e">
        <f>AND('YEAR 1'!#REF!,"AAAAAEX9P3g=")</f>
        <v>#REF!</v>
      </c>
      <c r="DR1" t="e">
        <f>AND('YEAR 1'!#REF!,"AAAAAEX9P3k=")</f>
        <v>#REF!</v>
      </c>
      <c r="DS1" t="e">
        <f>AND('YEAR 1'!#REF!,"AAAAAEX9P3o=")</f>
        <v>#REF!</v>
      </c>
      <c r="DT1" t="e">
        <f>AND('YEAR 1'!C5,"AAAAAEX9P3s=")</f>
        <v>#VALUE!</v>
      </c>
      <c r="DU1" t="e">
        <f>AND('YEAR 1'!D5,"AAAAAEX9P3w=")</f>
        <v>#VALUE!</v>
      </c>
      <c r="DV1" t="e">
        <f>AND('YEAR 1'!E5,"AAAAAEX9P30=")</f>
        <v>#VALUE!</v>
      </c>
      <c r="DW1">
        <f>IF('YEAR 1'!6:6,"AAAAAEX9P34=",0)</f>
        <v>0</v>
      </c>
      <c r="DX1" t="e">
        <f>AND('YEAR 1'!A6,"AAAAAEX9P38=")</f>
        <v>#VALUE!</v>
      </c>
      <c r="DY1" t="e">
        <f>AND('YEAR 1'!B6,"AAAAAEX9P4A=")</f>
        <v>#VALUE!</v>
      </c>
      <c r="DZ1" t="e">
        <f>AND('YEAR 1'!#REF!,"AAAAAEX9P4E=")</f>
        <v>#REF!</v>
      </c>
      <c r="EA1" t="e">
        <f>AND('YEAR 1'!#REF!,"AAAAAEX9P4I=")</f>
        <v>#REF!</v>
      </c>
      <c r="EB1" t="e">
        <f>AND('YEAR 1'!#REF!,"AAAAAEX9P4M=")</f>
        <v>#REF!</v>
      </c>
      <c r="EC1" t="e">
        <f>AND('YEAR 1'!C6,"AAAAAEX9P4Q=")</f>
        <v>#VALUE!</v>
      </c>
      <c r="ED1" t="e">
        <f>AND('YEAR 1'!D6,"AAAAAEX9P4U=")</f>
        <v>#VALUE!</v>
      </c>
      <c r="EE1" t="e">
        <f>AND('YEAR 1'!E6,"AAAAAEX9P4Y=")</f>
        <v>#VALUE!</v>
      </c>
      <c r="EF1">
        <f>IF('YEAR 1'!7:7,"AAAAAEX9P4c=",0)</f>
        <v>0</v>
      </c>
      <c r="EG1" t="e">
        <f>AND('YEAR 1'!A7,"AAAAAEX9P4g=")</f>
        <v>#VALUE!</v>
      </c>
      <c r="EH1" t="e">
        <f>AND('YEAR 1'!B7,"AAAAAEX9P4k=")</f>
        <v>#VALUE!</v>
      </c>
      <c r="EI1" t="e">
        <f>AND('YEAR 1'!#REF!,"AAAAAEX9P4o=")</f>
        <v>#REF!</v>
      </c>
      <c r="EJ1" t="e">
        <f>AND('YEAR 1'!#REF!,"AAAAAEX9P4s=")</f>
        <v>#REF!</v>
      </c>
      <c r="EK1" t="e">
        <f>AND('YEAR 1'!#REF!,"AAAAAEX9P4w=")</f>
        <v>#REF!</v>
      </c>
      <c r="EL1" t="e">
        <f>AND('YEAR 1'!C7,"AAAAAEX9P40=")</f>
        <v>#VALUE!</v>
      </c>
      <c r="EM1" t="e">
        <f>AND('YEAR 1'!D7,"AAAAAEX9P44=")</f>
        <v>#VALUE!</v>
      </c>
      <c r="EN1" t="e">
        <f>AND('YEAR 1'!E7,"AAAAAEX9P48=")</f>
        <v>#VALUE!</v>
      </c>
      <c r="EO1">
        <f>IF('YEAR 1'!8:8,"AAAAAEX9P5A=",0)</f>
        <v>0</v>
      </c>
      <c r="EP1" t="e">
        <f>AND('YEAR 1'!A8,"AAAAAEX9P5E=")</f>
        <v>#VALUE!</v>
      </c>
      <c r="EQ1" t="e">
        <f>AND('YEAR 1'!B8,"AAAAAEX9P5I=")</f>
        <v>#VALUE!</v>
      </c>
      <c r="ER1" t="e">
        <f>AND('YEAR 1'!#REF!,"AAAAAEX9P5M=")</f>
        <v>#REF!</v>
      </c>
      <c r="ES1" t="e">
        <f>AND('YEAR 1'!#REF!,"AAAAAEX9P5Q=")</f>
        <v>#REF!</v>
      </c>
      <c r="ET1" t="e">
        <f>AND('YEAR 1'!#REF!,"AAAAAEX9P5U=")</f>
        <v>#REF!</v>
      </c>
      <c r="EU1" t="e">
        <f>AND('YEAR 1'!C8,"AAAAAEX9P5Y=")</f>
        <v>#VALUE!</v>
      </c>
      <c r="EV1" t="e">
        <f>AND('YEAR 1'!D8,"AAAAAEX9P5c=")</f>
        <v>#VALUE!</v>
      </c>
      <c r="EW1" t="e">
        <f>AND('YEAR 1'!E8,"AAAAAEX9P5g=")</f>
        <v>#VALUE!</v>
      </c>
      <c r="EX1" t="e">
        <f>IF('YEAR 1'!#REF!,"AAAAAEX9P5k=",0)</f>
        <v>#REF!</v>
      </c>
      <c r="EY1" t="e">
        <f>AND('YEAR 1'!#REF!,"AAAAAEX9P5o=")</f>
        <v>#REF!</v>
      </c>
      <c r="EZ1" t="e">
        <f>AND('YEAR 1'!#REF!,"AAAAAEX9P5s=")</f>
        <v>#REF!</v>
      </c>
      <c r="FA1" t="e">
        <f>AND('YEAR 1'!#REF!,"AAAAAEX9P5w=")</f>
        <v>#REF!</v>
      </c>
      <c r="FB1" t="e">
        <f>AND('YEAR 1'!#REF!,"AAAAAEX9P50=")</f>
        <v>#REF!</v>
      </c>
      <c r="FC1" t="e">
        <f>AND('YEAR 1'!#REF!,"AAAAAEX9P54=")</f>
        <v>#REF!</v>
      </c>
      <c r="FD1" t="e">
        <f>AND('YEAR 1'!#REF!,"AAAAAEX9P58=")</f>
        <v>#REF!</v>
      </c>
      <c r="FE1" t="e">
        <f>AND('YEAR 1'!#REF!,"AAAAAEX9P6A=")</f>
        <v>#REF!</v>
      </c>
      <c r="FF1" t="e">
        <f>AND('YEAR 1'!#REF!,"AAAAAEX9P6E=")</f>
        <v>#REF!</v>
      </c>
      <c r="FG1">
        <f>IF('YEAR 1'!9:9,"AAAAAEX9P6I=",0)</f>
        <v>0</v>
      </c>
      <c r="FH1" t="e">
        <f>AND('YEAR 1'!A9,"AAAAAEX9P6M=")</f>
        <v>#VALUE!</v>
      </c>
      <c r="FI1" t="e">
        <f>AND('YEAR 1'!B9,"AAAAAEX9P6Q=")</f>
        <v>#VALUE!</v>
      </c>
      <c r="FJ1" t="e">
        <f>AND('YEAR 1'!#REF!,"AAAAAEX9P6U=")</f>
        <v>#REF!</v>
      </c>
      <c r="FK1" t="e">
        <f>AND('YEAR 1'!#REF!,"AAAAAEX9P6Y=")</f>
        <v>#REF!</v>
      </c>
      <c r="FL1" t="e">
        <f>AND('YEAR 1'!#REF!,"AAAAAEX9P6c=")</f>
        <v>#REF!</v>
      </c>
      <c r="FM1" t="e">
        <f>AND('YEAR 1'!C9,"AAAAAEX9P6g=")</f>
        <v>#VALUE!</v>
      </c>
      <c r="FN1" t="e">
        <f>AND('YEAR 1'!D9,"AAAAAEX9P6k=")</f>
        <v>#VALUE!</v>
      </c>
      <c r="FO1" t="e">
        <f>AND('YEAR 1'!E9,"AAAAAEX9P6o=")</f>
        <v>#VALUE!</v>
      </c>
      <c r="FP1">
        <f>IF('YEAR 1'!10:10,"AAAAAEX9P6s=",0)</f>
        <v>0</v>
      </c>
      <c r="FQ1" t="e">
        <f>AND('YEAR 1'!A10,"AAAAAEX9P6w=")</f>
        <v>#VALUE!</v>
      </c>
      <c r="FR1" t="e">
        <f>AND('YEAR 1'!B10,"AAAAAEX9P60=")</f>
        <v>#VALUE!</v>
      </c>
      <c r="FS1" t="e">
        <f>AND('YEAR 1'!#REF!,"AAAAAEX9P64=")</f>
        <v>#REF!</v>
      </c>
      <c r="FT1" t="e">
        <f>AND('YEAR 1'!#REF!,"AAAAAEX9P68=")</f>
        <v>#REF!</v>
      </c>
      <c r="FU1" t="e">
        <f>AND('YEAR 1'!#REF!,"AAAAAEX9P7A=")</f>
        <v>#REF!</v>
      </c>
      <c r="FV1" t="e">
        <f>AND('YEAR 1'!C10,"AAAAAEX9P7E=")</f>
        <v>#VALUE!</v>
      </c>
      <c r="FW1" t="e">
        <f>AND('YEAR 1'!D10,"AAAAAEX9P7I=")</f>
        <v>#VALUE!</v>
      </c>
      <c r="FX1" t="e">
        <f>AND('YEAR 1'!E10,"AAAAAEX9P7M=")</f>
        <v>#VALUE!</v>
      </c>
      <c r="FY1">
        <f>IF('YEAR 1'!11:11,"AAAAAEX9P7Q=",0)</f>
        <v>0</v>
      </c>
      <c r="FZ1" t="e">
        <f>AND('YEAR 1'!A11,"AAAAAEX9P7U=")</f>
        <v>#VALUE!</v>
      </c>
      <c r="GA1" t="e">
        <f>AND('YEAR 1'!B11,"AAAAAEX9P7Y=")</f>
        <v>#VALUE!</v>
      </c>
      <c r="GB1" t="e">
        <f>AND('YEAR 1'!#REF!,"AAAAAEX9P7c=")</f>
        <v>#REF!</v>
      </c>
      <c r="GC1" t="e">
        <f>AND('YEAR 1'!#REF!,"AAAAAEX9P7g=")</f>
        <v>#REF!</v>
      </c>
      <c r="GD1" t="e">
        <f>AND('YEAR 1'!#REF!,"AAAAAEX9P7k=")</f>
        <v>#REF!</v>
      </c>
      <c r="GE1" t="e">
        <f>AND('YEAR 1'!C11,"AAAAAEX9P7o=")</f>
        <v>#VALUE!</v>
      </c>
      <c r="GF1" t="e">
        <f>AND('YEAR 1'!D11,"AAAAAEX9P7s=")</f>
        <v>#VALUE!</v>
      </c>
      <c r="GG1" t="e">
        <f>AND('YEAR 1'!E11,"AAAAAEX9P7w=")</f>
        <v>#VALUE!</v>
      </c>
      <c r="GH1" t="e">
        <f>IF('YEAR 1'!#REF!,"AAAAAEX9P70=",0)</f>
        <v>#REF!</v>
      </c>
      <c r="GI1" t="e">
        <f>AND('YEAR 1'!#REF!,"AAAAAEX9P74=")</f>
        <v>#REF!</v>
      </c>
      <c r="GJ1" t="e">
        <f>AND('YEAR 1'!#REF!,"AAAAAEX9P78=")</f>
        <v>#REF!</v>
      </c>
      <c r="GK1" t="e">
        <f>AND('YEAR 1'!#REF!,"AAAAAEX9P8A=")</f>
        <v>#REF!</v>
      </c>
      <c r="GL1" t="e">
        <f>AND('YEAR 1'!#REF!,"AAAAAEX9P8E=")</f>
        <v>#REF!</v>
      </c>
      <c r="GM1" t="e">
        <f>AND('YEAR 1'!#REF!,"AAAAAEX9P8I=")</f>
        <v>#REF!</v>
      </c>
      <c r="GN1" t="e">
        <f>AND('YEAR 1'!#REF!,"AAAAAEX9P8M=")</f>
        <v>#REF!</v>
      </c>
      <c r="GO1" t="e">
        <f>AND('YEAR 1'!#REF!,"AAAAAEX9P8Q=")</f>
        <v>#REF!</v>
      </c>
      <c r="GP1" t="e">
        <f>AND('YEAR 1'!#REF!,"AAAAAEX9P8U=")</f>
        <v>#REF!</v>
      </c>
      <c r="GQ1">
        <f>IF('YEAR 1'!12:12,"AAAAAEX9P8Y=",0)</f>
        <v>0</v>
      </c>
      <c r="GR1" t="e">
        <f>AND('YEAR 1'!A12,"AAAAAEX9P8c=")</f>
        <v>#VALUE!</v>
      </c>
      <c r="GS1" t="e">
        <f>AND('YEAR 1'!B12,"AAAAAEX9P8g=")</f>
        <v>#VALUE!</v>
      </c>
      <c r="GT1" t="e">
        <f>AND('YEAR 1'!#REF!,"AAAAAEX9P8k=")</f>
        <v>#REF!</v>
      </c>
      <c r="GU1" t="e">
        <f>AND('YEAR 1'!#REF!,"AAAAAEX9P8o=")</f>
        <v>#REF!</v>
      </c>
      <c r="GV1" t="e">
        <f>AND('YEAR 1'!#REF!,"AAAAAEX9P8s=")</f>
        <v>#REF!</v>
      </c>
      <c r="GW1" t="e">
        <f>AND('YEAR 1'!C12,"AAAAAEX9P8w=")</f>
        <v>#VALUE!</v>
      </c>
      <c r="GX1" t="e">
        <f>AND('YEAR 1'!D12,"AAAAAEX9P80=")</f>
        <v>#VALUE!</v>
      </c>
      <c r="GY1" t="e">
        <f>AND('YEAR 1'!E12,"AAAAAEX9P84=")</f>
        <v>#VALUE!</v>
      </c>
      <c r="GZ1" t="e">
        <f>IF('YEAR 1'!#REF!,"AAAAAEX9P88=",0)</f>
        <v>#REF!</v>
      </c>
      <c r="HA1" t="e">
        <f>AND('YEAR 1'!#REF!,"AAAAAEX9P9A=")</f>
        <v>#REF!</v>
      </c>
      <c r="HB1" t="e">
        <f>AND('YEAR 1'!#REF!,"AAAAAEX9P9E=")</f>
        <v>#REF!</v>
      </c>
      <c r="HC1" t="e">
        <f>AND('YEAR 1'!#REF!,"AAAAAEX9P9I=")</f>
        <v>#REF!</v>
      </c>
      <c r="HD1" t="e">
        <f>AND('YEAR 1'!#REF!,"AAAAAEX9P9M=")</f>
        <v>#REF!</v>
      </c>
      <c r="HE1" t="e">
        <f>AND('YEAR 1'!#REF!,"AAAAAEX9P9Q=")</f>
        <v>#REF!</v>
      </c>
      <c r="HF1" t="e">
        <f>AND('YEAR 1'!#REF!,"AAAAAEX9P9U=")</f>
        <v>#REF!</v>
      </c>
      <c r="HG1" t="e">
        <f>AND('YEAR 1'!#REF!,"AAAAAEX9P9Y=")</f>
        <v>#REF!</v>
      </c>
      <c r="HH1" t="e">
        <f>AND('YEAR 1'!#REF!,"AAAAAEX9P9c=")</f>
        <v>#REF!</v>
      </c>
      <c r="HI1">
        <f>IF('YEAR 1'!13:13,"AAAAAEX9P9g=",0)</f>
        <v>0</v>
      </c>
      <c r="HJ1" t="e">
        <f>AND('YEAR 1'!A13,"AAAAAEX9P9k=")</f>
        <v>#VALUE!</v>
      </c>
      <c r="HK1" t="e">
        <f>AND('YEAR 1'!B13,"AAAAAEX9P9o=")</f>
        <v>#VALUE!</v>
      </c>
      <c r="HL1" t="e">
        <f>AND('YEAR 1'!#REF!,"AAAAAEX9P9s=")</f>
        <v>#REF!</v>
      </c>
      <c r="HM1" t="e">
        <f>AND('YEAR 1'!#REF!,"AAAAAEX9P9w=")</f>
        <v>#REF!</v>
      </c>
      <c r="HN1" t="e">
        <f>AND('YEAR 1'!#REF!,"AAAAAEX9P90=")</f>
        <v>#REF!</v>
      </c>
      <c r="HO1" t="e">
        <f>AND('YEAR 1'!C13,"AAAAAEX9P94=")</f>
        <v>#VALUE!</v>
      </c>
      <c r="HP1" t="e">
        <f>AND('YEAR 1'!D13,"AAAAAEX9P98=")</f>
        <v>#VALUE!</v>
      </c>
      <c r="HQ1" t="e">
        <f>AND('YEAR 1'!E13,"AAAAAEX9P+A=")</f>
        <v>#VALUE!</v>
      </c>
      <c r="HR1">
        <f>IF('YEAR 1'!14:14,"AAAAAEX9P+E=",0)</f>
        <v>0</v>
      </c>
      <c r="HS1" t="e">
        <f>AND('YEAR 1'!#REF!,"AAAAAEX9P+I=")</f>
        <v>#REF!</v>
      </c>
      <c r="HT1" t="e">
        <f>AND('YEAR 1'!B14,"AAAAAEX9P+M=")</f>
        <v>#VALUE!</v>
      </c>
      <c r="HU1" t="e">
        <f>AND('YEAR 1'!#REF!,"AAAAAEX9P+Q=")</f>
        <v>#REF!</v>
      </c>
      <c r="HV1" t="e">
        <f>AND('YEAR 1'!#REF!,"AAAAAEX9P+U=")</f>
        <v>#REF!</v>
      </c>
      <c r="HW1" t="e">
        <f>AND('YEAR 1'!#REF!,"AAAAAEX9P+Y=")</f>
        <v>#REF!</v>
      </c>
      <c r="HX1" t="e">
        <f>AND('YEAR 1'!C14,"AAAAAEX9P+c=")</f>
        <v>#VALUE!</v>
      </c>
      <c r="HY1" t="e">
        <f>AND('YEAR 1'!D14,"AAAAAEX9P+g=")</f>
        <v>#VALUE!</v>
      </c>
      <c r="HZ1" t="e">
        <f>AND('YEAR 1'!E14,"AAAAAEX9P+k=")</f>
        <v>#VALUE!</v>
      </c>
      <c r="IA1">
        <f>IF('YEAR 1'!15:15,"AAAAAEX9P+o=",0)</f>
        <v>0</v>
      </c>
      <c r="IB1" t="e">
        <f>AND('YEAR 1'!A15,"AAAAAEX9P+s=")</f>
        <v>#VALUE!</v>
      </c>
      <c r="IC1" t="e">
        <f>AND('YEAR 1'!B15,"AAAAAEX9P+w=")</f>
        <v>#VALUE!</v>
      </c>
      <c r="ID1" t="e">
        <f>AND('YEAR 1'!#REF!,"AAAAAEX9P+0=")</f>
        <v>#REF!</v>
      </c>
      <c r="IE1" t="e">
        <f>AND('YEAR 1'!#REF!,"AAAAAEX9P+4=")</f>
        <v>#REF!</v>
      </c>
      <c r="IF1" t="e">
        <f>AND('YEAR 1'!#REF!,"AAAAAEX9P+8=")</f>
        <v>#REF!</v>
      </c>
      <c r="IG1" t="e">
        <f>AND('YEAR 1'!C15,"AAAAAEX9P/A=")</f>
        <v>#VALUE!</v>
      </c>
      <c r="IH1" t="e">
        <f>AND('YEAR 1'!D15,"AAAAAEX9P/E=")</f>
        <v>#VALUE!</v>
      </c>
      <c r="II1" t="e">
        <f>AND('YEAR 1'!E15,"AAAAAEX9P/I=")</f>
        <v>#VALUE!</v>
      </c>
      <c r="IJ1">
        <f>IF('YEAR 1'!16:16,"AAAAAEX9P/M=",0)</f>
        <v>0</v>
      </c>
      <c r="IK1" t="e">
        <f>AND('YEAR 1'!A16,"AAAAAEX9P/Q=")</f>
        <v>#VALUE!</v>
      </c>
      <c r="IL1" t="e">
        <f>AND('YEAR 1'!B16,"AAAAAEX9P/U=")</f>
        <v>#VALUE!</v>
      </c>
      <c r="IM1" t="e">
        <f>AND('YEAR 1'!#REF!,"AAAAAEX9P/Y=")</f>
        <v>#REF!</v>
      </c>
      <c r="IN1" t="e">
        <f>AND('YEAR 1'!#REF!,"AAAAAEX9P/c=")</f>
        <v>#REF!</v>
      </c>
      <c r="IO1" t="e">
        <f>AND('YEAR 1'!#REF!,"AAAAAEX9P/g=")</f>
        <v>#REF!</v>
      </c>
      <c r="IP1" t="e">
        <f>AND('YEAR 1'!C16,"AAAAAEX9P/k=")</f>
        <v>#VALUE!</v>
      </c>
      <c r="IQ1" t="e">
        <f>AND('YEAR 1'!D16,"AAAAAEX9P/o=")</f>
        <v>#VALUE!</v>
      </c>
      <c r="IR1" t="e">
        <f>AND('YEAR 1'!E16,"AAAAAEX9P/s=")</f>
        <v>#VALUE!</v>
      </c>
      <c r="IS1">
        <f>IF('YEAR 1'!17:17,"AAAAAEX9P/w=",0)</f>
        <v>0</v>
      </c>
      <c r="IT1" t="e">
        <f>AND('YEAR 1'!A17,"AAAAAEX9P/0=")</f>
        <v>#VALUE!</v>
      </c>
      <c r="IU1" t="e">
        <f>AND('YEAR 1'!B17,"AAAAAEX9P/4=")</f>
        <v>#VALUE!</v>
      </c>
      <c r="IV1" t="e">
        <f>AND('YEAR 1'!#REF!,"AAAAAEX9P/8=")</f>
        <v>#REF!</v>
      </c>
    </row>
    <row r="2" spans="1:233" ht="12.75">
      <c r="A2" t="e">
        <f>AND('YEAR 1'!#REF!,"AAAAAH7dMwA=")</f>
        <v>#REF!</v>
      </c>
      <c r="B2" t="e">
        <f>AND('YEAR 1'!#REF!,"AAAAAH7dMwE=")</f>
        <v>#REF!</v>
      </c>
      <c r="C2" t="e">
        <f>AND('YEAR 1'!C17,"AAAAAH7dMwI=")</f>
        <v>#VALUE!</v>
      </c>
      <c r="D2" t="e">
        <f>AND('YEAR 1'!D17,"AAAAAH7dMwM=")</f>
        <v>#VALUE!</v>
      </c>
      <c r="E2" t="e">
        <f>AND('YEAR 1'!E17,"AAAAAH7dMwQ=")</f>
        <v>#VALUE!</v>
      </c>
      <c r="F2" t="e">
        <f>IF('YEAR 1'!#REF!,"AAAAAH7dMwU=",0)</f>
        <v>#REF!</v>
      </c>
      <c r="G2" t="e">
        <f>AND('YEAR 1'!#REF!,"AAAAAH7dMwY=")</f>
        <v>#REF!</v>
      </c>
      <c r="H2" t="e">
        <f>AND('YEAR 1'!#REF!,"AAAAAH7dMwc=")</f>
        <v>#REF!</v>
      </c>
      <c r="I2" t="e">
        <f>AND('YEAR 1'!#REF!,"AAAAAH7dMwg=")</f>
        <v>#REF!</v>
      </c>
      <c r="J2" t="e">
        <f>AND('YEAR 1'!#REF!,"AAAAAH7dMwk=")</f>
        <v>#REF!</v>
      </c>
      <c r="K2" t="e">
        <f>AND('YEAR 1'!#REF!,"AAAAAH7dMwo=")</f>
        <v>#REF!</v>
      </c>
      <c r="L2" t="e">
        <f>AND('YEAR 1'!#REF!,"AAAAAH7dMws=")</f>
        <v>#REF!</v>
      </c>
      <c r="M2" t="e">
        <f>AND('YEAR 1'!#REF!,"AAAAAH7dMww=")</f>
        <v>#REF!</v>
      </c>
      <c r="N2" t="e">
        <f>AND('YEAR 1'!#REF!,"AAAAAH7dMw0=")</f>
        <v>#REF!</v>
      </c>
      <c r="O2">
        <f>IF('YEAR 1'!18:18,"AAAAAH7dMw4=",0)</f>
        <v>0</v>
      </c>
      <c r="P2" t="e">
        <f>AND('YEAR 1'!A18,"AAAAAH7dMw8=")</f>
        <v>#VALUE!</v>
      </c>
      <c r="Q2" t="e">
        <f>AND('YEAR 1'!B18,"AAAAAH7dMxA=")</f>
        <v>#VALUE!</v>
      </c>
      <c r="R2" t="e">
        <f>AND('YEAR 1'!#REF!,"AAAAAH7dMxE=")</f>
        <v>#REF!</v>
      </c>
      <c r="S2" t="e">
        <f>AND('YEAR 1'!#REF!,"AAAAAH7dMxI=")</f>
        <v>#REF!</v>
      </c>
      <c r="T2" t="e">
        <f>AND('YEAR 1'!#REF!,"AAAAAH7dMxM=")</f>
        <v>#REF!</v>
      </c>
      <c r="U2" t="e">
        <f>AND('YEAR 1'!C18,"AAAAAH7dMxQ=")</f>
        <v>#VALUE!</v>
      </c>
      <c r="V2" t="e">
        <f>AND('YEAR 1'!D18,"AAAAAH7dMxU=")</f>
        <v>#VALUE!</v>
      </c>
      <c r="W2" t="e">
        <f>AND('YEAR 1'!E18,"AAAAAH7dMxY=")</f>
        <v>#VALUE!</v>
      </c>
      <c r="X2">
        <f>IF('YEAR 1'!19:19,"AAAAAH7dMxc=",0)</f>
        <v>0</v>
      </c>
      <c r="Y2" t="e">
        <f>AND('YEAR 1'!A19,"AAAAAH7dMxg=")</f>
        <v>#VALUE!</v>
      </c>
      <c r="Z2" t="e">
        <f>AND('YEAR 1'!B19,"AAAAAH7dMxk=")</f>
        <v>#VALUE!</v>
      </c>
      <c r="AA2" t="e">
        <f>AND('YEAR 1'!#REF!,"AAAAAH7dMxo=")</f>
        <v>#REF!</v>
      </c>
      <c r="AB2" t="e">
        <f>AND('YEAR 1'!#REF!,"AAAAAH7dMxs=")</f>
        <v>#REF!</v>
      </c>
      <c r="AC2" t="e">
        <f>AND('YEAR 1'!#REF!,"AAAAAH7dMxw=")</f>
        <v>#REF!</v>
      </c>
      <c r="AD2" t="e">
        <f>AND('YEAR 1'!C19,"AAAAAH7dMx0=")</f>
        <v>#VALUE!</v>
      </c>
      <c r="AE2" t="e">
        <f>AND('YEAR 1'!D19,"AAAAAH7dMx4=")</f>
        <v>#VALUE!</v>
      </c>
      <c r="AF2" t="e">
        <f>AND('YEAR 1'!E19,"AAAAAH7dMx8=")</f>
        <v>#VALUE!</v>
      </c>
      <c r="AG2">
        <f>IF('YEAR 1'!20:20,"AAAAAH7dMyA=",0)</f>
        <v>0</v>
      </c>
      <c r="AH2" t="e">
        <f>AND('YEAR 1'!A20,"AAAAAH7dMyE=")</f>
        <v>#VALUE!</v>
      </c>
      <c r="AI2" t="e">
        <f>AND('YEAR 1'!B20,"AAAAAH7dMyI=")</f>
        <v>#VALUE!</v>
      </c>
      <c r="AJ2" t="e">
        <f>AND('YEAR 1'!#REF!,"AAAAAH7dMyM=")</f>
        <v>#REF!</v>
      </c>
      <c r="AK2" t="e">
        <f>AND('YEAR 1'!#REF!,"AAAAAH7dMyQ=")</f>
        <v>#REF!</v>
      </c>
      <c r="AL2" t="e">
        <f>AND('YEAR 1'!#REF!,"AAAAAH7dMyU=")</f>
        <v>#REF!</v>
      </c>
      <c r="AM2" t="e">
        <f>AND('YEAR 1'!C20,"AAAAAH7dMyY=")</f>
        <v>#VALUE!</v>
      </c>
      <c r="AN2" t="e">
        <f>AND('YEAR 1'!D20,"AAAAAH7dMyc=")</f>
        <v>#VALUE!</v>
      </c>
      <c r="AO2" t="e">
        <f>AND('YEAR 1'!E20,"AAAAAH7dMyg=")</f>
        <v>#VALUE!</v>
      </c>
      <c r="AP2">
        <f>IF('YEAR 1'!21:21,"AAAAAH7dMyk=",0)</f>
        <v>0</v>
      </c>
      <c r="AQ2" t="e">
        <f>AND('YEAR 1'!A21,"AAAAAH7dMyo=")</f>
        <v>#VALUE!</v>
      </c>
      <c r="AR2" t="e">
        <f>AND('YEAR 1'!B21,"AAAAAH7dMys=")</f>
        <v>#VALUE!</v>
      </c>
      <c r="AS2" t="e">
        <f>AND('YEAR 1'!#REF!,"AAAAAH7dMyw=")</f>
        <v>#REF!</v>
      </c>
      <c r="AT2" t="e">
        <f>AND('YEAR 1'!#REF!,"AAAAAH7dMy0=")</f>
        <v>#REF!</v>
      </c>
      <c r="AU2" t="e">
        <f>AND('YEAR 1'!#REF!,"AAAAAH7dMy4=")</f>
        <v>#REF!</v>
      </c>
      <c r="AV2" t="e">
        <f>AND('YEAR 1'!C21,"AAAAAH7dMy8=")</f>
        <v>#VALUE!</v>
      </c>
      <c r="AW2" t="e">
        <f>AND('YEAR 1'!D21,"AAAAAH7dMzA=")</f>
        <v>#VALUE!</v>
      </c>
      <c r="AX2" t="e">
        <f>AND('YEAR 1'!E21,"AAAAAH7dMzE=")</f>
        <v>#VALUE!</v>
      </c>
      <c r="AY2">
        <f>IF('YEAR 1'!24:24,"AAAAAH7dMzI=",0)</f>
        <v>0</v>
      </c>
      <c r="AZ2" t="e">
        <f>AND('YEAR 1'!A24,"AAAAAH7dMzM=")</f>
        <v>#VALUE!</v>
      </c>
      <c r="BA2" t="e">
        <f>AND('YEAR 1'!B24,"AAAAAH7dMzQ=")</f>
        <v>#VALUE!</v>
      </c>
      <c r="BB2" t="e">
        <f>AND('YEAR 1'!#REF!,"AAAAAH7dMzU=")</f>
        <v>#REF!</v>
      </c>
      <c r="BC2" t="e">
        <f>AND('YEAR 1'!#REF!,"AAAAAH7dMzY=")</f>
        <v>#REF!</v>
      </c>
      <c r="BD2" t="e">
        <f>AND('YEAR 1'!#REF!,"AAAAAH7dMzc=")</f>
        <v>#REF!</v>
      </c>
      <c r="BE2" t="e">
        <f>AND('YEAR 1'!C24,"AAAAAH7dMzg=")</f>
        <v>#VALUE!</v>
      </c>
      <c r="BF2" t="e">
        <f>AND('YEAR 1'!D24,"AAAAAH7dMzk=")</f>
        <v>#VALUE!</v>
      </c>
      <c r="BG2" t="e">
        <f>AND('YEAR 1'!E24,"AAAAAH7dMzo=")</f>
        <v>#VALUE!</v>
      </c>
      <c r="BH2">
        <f>IF('YEAR 1'!25:25,"AAAAAH7dMzs=",0)</f>
        <v>0</v>
      </c>
      <c r="BI2" t="e">
        <f>AND('YEAR 1'!A25,"AAAAAH7dMzw=")</f>
        <v>#VALUE!</v>
      </c>
      <c r="BJ2" t="e">
        <f>AND('YEAR 1'!B25,"AAAAAH7dMz0=")</f>
        <v>#VALUE!</v>
      </c>
      <c r="BK2" t="e">
        <f>AND('YEAR 1'!#REF!,"AAAAAH7dMz4=")</f>
        <v>#REF!</v>
      </c>
      <c r="BL2" t="e">
        <f>AND('YEAR 1'!#REF!,"AAAAAH7dMz8=")</f>
        <v>#REF!</v>
      </c>
      <c r="BM2" t="e">
        <f>AND('YEAR 1'!#REF!,"AAAAAH7dM0A=")</f>
        <v>#REF!</v>
      </c>
      <c r="BN2" t="e">
        <f>AND('YEAR 1'!C25,"AAAAAH7dM0E=")</f>
        <v>#VALUE!</v>
      </c>
      <c r="BO2" t="e">
        <f>AND('YEAR 1'!D25,"AAAAAH7dM0I=")</f>
        <v>#VALUE!</v>
      </c>
      <c r="BP2" t="e">
        <f>AND('YEAR 1'!E25,"AAAAAH7dM0M=")</f>
        <v>#VALUE!</v>
      </c>
      <c r="BQ2" t="e">
        <f>IF('YEAR 1'!#REF!,"AAAAAH7dM0Q=",0)</f>
        <v>#REF!</v>
      </c>
      <c r="BR2" t="e">
        <f>AND('YEAR 1'!#REF!,"AAAAAH7dM0U=")</f>
        <v>#REF!</v>
      </c>
      <c r="BS2" t="e">
        <f>AND('YEAR 1'!#REF!,"AAAAAH7dM0Y=")</f>
        <v>#REF!</v>
      </c>
      <c r="BT2" t="e">
        <f>AND('YEAR 1'!#REF!,"AAAAAH7dM0c=")</f>
        <v>#REF!</v>
      </c>
      <c r="BU2" t="e">
        <f>AND('YEAR 1'!#REF!,"AAAAAH7dM0g=")</f>
        <v>#REF!</v>
      </c>
      <c r="BV2" t="e">
        <f>AND('YEAR 1'!#REF!,"AAAAAH7dM0k=")</f>
        <v>#REF!</v>
      </c>
      <c r="BW2" t="e">
        <f>AND('YEAR 1'!#REF!,"AAAAAH7dM0o=")</f>
        <v>#REF!</v>
      </c>
      <c r="BX2" t="e">
        <f>AND('YEAR 1'!#REF!,"AAAAAH7dM0s=")</f>
        <v>#REF!</v>
      </c>
      <c r="BY2" t="e">
        <f>AND('YEAR 1'!#REF!,"AAAAAH7dM0w=")</f>
        <v>#REF!</v>
      </c>
      <c r="BZ2">
        <f>IF('YEAR 1'!26:26,"AAAAAH7dM00=",0)</f>
        <v>0</v>
      </c>
      <c r="CA2" t="e">
        <f>AND('YEAR 1'!A26,"AAAAAH7dM04=")</f>
        <v>#VALUE!</v>
      </c>
      <c r="CB2" t="e">
        <f>AND('YEAR 1'!#REF!,"AAAAAH7dM08=")</f>
        <v>#REF!</v>
      </c>
      <c r="CC2" t="e">
        <f>AND('YEAR 1'!#REF!,"AAAAAH7dM1A=")</f>
        <v>#REF!</v>
      </c>
      <c r="CD2" t="e">
        <f>AND('YEAR 1'!#REF!,"AAAAAH7dM1E=")</f>
        <v>#REF!</v>
      </c>
      <c r="CE2" t="e">
        <f>AND('YEAR 1'!#REF!,"AAAAAH7dM1I=")</f>
        <v>#REF!</v>
      </c>
      <c r="CF2" t="e">
        <f>AND('YEAR 1'!C26,"AAAAAH7dM1M=")</f>
        <v>#VALUE!</v>
      </c>
      <c r="CG2" t="e">
        <f>AND('YEAR 1'!D26,"AAAAAH7dM1Q=")</f>
        <v>#VALUE!</v>
      </c>
      <c r="CH2" t="e">
        <f>AND('YEAR 1'!E26,"AAAAAH7dM1U=")</f>
        <v>#VALUE!</v>
      </c>
      <c r="CI2" t="e">
        <f>IF('YEAR 1'!#REF!,"AAAAAH7dM1Y=",0)</f>
        <v>#REF!</v>
      </c>
      <c r="CJ2" t="e">
        <f>AND('YEAR 1'!#REF!,"AAAAAH7dM1c=")</f>
        <v>#REF!</v>
      </c>
      <c r="CK2" t="e">
        <f>AND('YEAR 1'!#REF!,"AAAAAH7dM1g=")</f>
        <v>#REF!</v>
      </c>
      <c r="CL2" t="e">
        <f>AND('YEAR 1'!#REF!,"AAAAAH7dM1k=")</f>
        <v>#REF!</v>
      </c>
      <c r="CM2" t="e">
        <f>AND('YEAR 1'!#REF!,"AAAAAH7dM1o=")</f>
        <v>#REF!</v>
      </c>
      <c r="CN2" t="e">
        <f>AND('YEAR 1'!#REF!,"AAAAAH7dM1s=")</f>
        <v>#REF!</v>
      </c>
      <c r="CO2" t="e">
        <f>AND('YEAR 1'!#REF!,"AAAAAH7dM1w=")</f>
        <v>#REF!</v>
      </c>
      <c r="CP2" t="e">
        <f>AND('YEAR 1'!#REF!,"AAAAAH7dM10=")</f>
        <v>#REF!</v>
      </c>
      <c r="CQ2" t="e">
        <f>AND('YEAR 1'!#REF!,"AAAAAH7dM14=")</f>
        <v>#REF!</v>
      </c>
      <c r="CR2" t="e">
        <f>IF('YEAR 1'!#REF!,"AAAAAH7dM18=",0)</f>
        <v>#REF!</v>
      </c>
      <c r="CS2" t="e">
        <f>AND('YEAR 1'!#REF!,"AAAAAH7dM2A=")</f>
        <v>#REF!</v>
      </c>
      <c r="CT2" t="e">
        <f>AND('YEAR 1'!#REF!,"AAAAAH7dM2E=")</f>
        <v>#REF!</v>
      </c>
      <c r="CU2" t="e">
        <f>AND('YEAR 1'!#REF!,"AAAAAH7dM2I=")</f>
        <v>#REF!</v>
      </c>
      <c r="CV2" t="e">
        <f>AND('YEAR 1'!#REF!,"AAAAAH7dM2M=")</f>
        <v>#REF!</v>
      </c>
      <c r="CW2" t="e">
        <f>AND('YEAR 1'!#REF!,"AAAAAH7dM2Q=")</f>
        <v>#REF!</v>
      </c>
      <c r="CX2" t="e">
        <f>AND('YEAR 1'!#REF!,"AAAAAH7dM2U=")</f>
        <v>#REF!</v>
      </c>
      <c r="CY2" t="e">
        <f>AND('YEAR 1'!#REF!,"AAAAAH7dM2Y=")</f>
        <v>#REF!</v>
      </c>
      <c r="CZ2" t="e">
        <f>AND('YEAR 1'!#REF!,"AAAAAH7dM2c=")</f>
        <v>#REF!</v>
      </c>
      <c r="DA2" t="e">
        <f>IF('YEAR 1'!#REF!,"AAAAAH7dM2g=",0)</f>
        <v>#REF!</v>
      </c>
      <c r="DB2" t="e">
        <f>AND('YEAR 1'!#REF!,"AAAAAH7dM2k=")</f>
        <v>#REF!</v>
      </c>
      <c r="DC2" t="e">
        <f>AND('YEAR 1'!#REF!,"AAAAAH7dM2o=")</f>
        <v>#REF!</v>
      </c>
      <c r="DD2" t="e">
        <f>AND('YEAR 1'!#REF!,"AAAAAH7dM2s=")</f>
        <v>#REF!</v>
      </c>
      <c r="DE2" t="e">
        <f>AND('YEAR 1'!#REF!,"AAAAAH7dM2w=")</f>
        <v>#REF!</v>
      </c>
      <c r="DF2" t="e">
        <f>AND('YEAR 1'!#REF!,"AAAAAH7dM20=")</f>
        <v>#REF!</v>
      </c>
      <c r="DG2" t="e">
        <f>AND('YEAR 1'!#REF!,"AAAAAH7dM24=")</f>
        <v>#REF!</v>
      </c>
      <c r="DH2" t="e">
        <f>AND('YEAR 1'!#REF!,"AAAAAH7dM28=")</f>
        <v>#REF!</v>
      </c>
      <c r="DI2" t="e">
        <f>AND('YEAR 1'!#REF!,"AAAAAH7dM3A=")</f>
        <v>#REF!</v>
      </c>
      <c r="DJ2" t="e">
        <f>IF('YEAR 1'!#REF!,"AAAAAH7dM3E=",0)</f>
        <v>#REF!</v>
      </c>
      <c r="DK2" t="e">
        <f>AND('YEAR 1'!#REF!,"AAAAAH7dM3I=")</f>
        <v>#REF!</v>
      </c>
      <c r="DL2" t="e">
        <f>AND('YEAR 1'!#REF!,"AAAAAH7dM3M=")</f>
        <v>#REF!</v>
      </c>
      <c r="DM2" t="e">
        <f>AND('YEAR 1'!#REF!,"AAAAAH7dM3Q=")</f>
        <v>#REF!</v>
      </c>
      <c r="DN2" t="e">
        <f>AND('YEAR 1'!#REF!,"AAAAAH7dM3U=")</f>
        <v>#REF!</v>
      </c>
      <c r="DO2" t="e">
        <f>AND('YEAR 1'!#REF!,"AAAAAH7dM3Y=")</f>
        <v>#REF!</v>
      </c>
      <c r="DP2" t="e">
        <f>AND('YEAR 1'!#REF!,"AAAAAH7dM3c=")</f>
        <v>#REF!</v>
      </c>
      <c r="DQ2" t="e">
        <f>AND('YEAR 1'!#REF!,"AAAAAH7dM3g=")</f>
        <v>#REF!</v>
      </c>
      <c r="DR2" t="e">
        <f>AND('YEAR 1'!#REF!,"AAAAAH7dM3k=")</f>
        <v>#REF!</v>
      </c>
      <c r="DS2" t="e">
        <f>IF('YEAR 1'!#REF!,"AAAAAH7dM3o=",0)</f>
        <v>#REF!</v>
      </c>
      <c r="DT2" t="e">
        <f>AND('YEAR 1'!#REF!,"AAAAAH7dM3s=")</f>
        <v>#REF!</v>
      </c>
      <c r="DU2" t="e">
        <f>AND('YEAR 1'!#REF!,"AAAAAH7dM3w=")</f>
        <v>#REF!</v>
      </c>
      <c r="DV2" t="e">
        <f>AND('YEAR 1'!#REF!,"AAAAAH7dM30=")</f>
        <v>#REF!</v>
      </c>
      <c r="DW2" t="e">
        <f>AND('YEAR 1'!#REF!,"AAAAAH7dM34=")</f>
        <v>#REF!</v>
      </c>
      <c r="DX2" t="e">
        <f>AND('YEAR 1'!#REF!,"AAAAAH7dM38=")</f>
        <v>#REF!</v>
      </c>
      <c r="DY2" t="e">
        <f>AND('YEAR 1'!#REF!,"AAAAAH7dM4A=")</f>
        <v>#REF!</v>
      </c>
      <c r="DZ2" t="e">
        <f>AND('YEAR 1'!#REF!,"AAAAAH7dM4E=")</f>
        <v>#REF!</v>
      </c>
      <c r="EA2" t="e">
        <f>AND('YEAR 1'!#REF!,"AAAAAH7dM4I=")</f>
        <v>#REF!</v>
      </c>
      <c r="EB2" t="e">
        <f>IF('YEAR 1'!#REF!,"AAAAAH7dM4M=",0)</f>
        <v>#REF!</v>
      </c>
      <c r="EC2">
        <f>IF('YEAR 1'!28:28,"AAAAAH7dM4Q=",0)</f>
        <v>0</v>
      </c>
      <c r="ED2" t="e">
        <f>IF('YEAR 1'!#REF!,"AAAAAH7dM4U=",0)</f>
        <v>#REF!</v>
      </c>
      <c r="EE2">
        <f>IF('YEAR 1'!29:29,"AAAAAH7dM4Y=",0)</f>
        <v>0</v>
      </c>
      <c r="EF2">
        <f>IF('YEAR 1'!30:30,"AAAAAH7dM4c=",0)</f>
        <v>0</v>
      </c>
      <c r="EG2">
        <f>IF('YEAR 1'!31:31,"AAAAAH7dM4g=",0)</f>
        <v>0</v>
      </c>
      <c r="EH2">
        <f>IF('YEAR 1'!32:32,"AAAAAH7dM4k=",0)</f>
        <v>0</v>
      </c>
      <c r="EI2">
        <f>IF('YEAR 1'!33:33,"AAAAAH7dM4o=",0)</f>
        <v>0</v>
      </c>
      <c r="EJ2">
        <f>IF('YEAR 1'!34:34,"AAAAAH7dM4s=",0)</f>
        <v>0</v>
      </c>
      <c r="EK2">
        <f>IF('YEAR 1'!35:35,"AAAAAH7dM4w=",0)</f>
        <v>0</v>
      </c>
      <c r="EL2">
        <f>IF('YEAR 1'!36:36,"AAAAAH7dM40=",0)</f>
        <v>0</v>
      </c>
      <c r="EM2">
        <f>IF('YEAR 1'!37:37,"AAAAAH7dM44=",0)</f>
        <v>0</v>
      </c>
      <c r="EN2">
        <f>IF('YEAR 1'!38:38,"AAAAAH7dM48=",0)</f>
        <v>0</v>
      </c>
      <c r="EO2">
        <f>IF('YEAR 1'!39:39,"AAAAAH7dM5A=",0)</f>
        <v>0</v>
      </c>
      <c r="EP2">
        <f>IF('YEAR 1'!40:40,"AAAAAH7dM5E=",0)</f>
        <v>0</v>
      </c>
      <c r="EQ2">
        <f>IF('YEAR 1'!41:41,"AAAAAH7dM5I=",0)</f>
        <v>0</v>
      </c>
      <c r="ER2">
        <f>IF('YEAR 1'!42:42,"AAAAAH7dM5M=",0)</f>
        <v>0</v>
      </c>
      <c r="ES2">
        <f>IF('YEAR 1'!43:43,"AAAAAH7dM5Q=",0)</f>
        <v>0</v>
      </c>
      <c r="ET2">
        <f>IF('YEAR 1'!44:44,"AAAAAH7dM5U=",0)</f>
        <v>0</v>
      </c>
      <c r="EU2">
        <f>IF('YEAR 1'!45:45,"AAAAAH7dM5Y=",0)</f>
        <v>0</v>
      </c>
      <c r="EV2">
        <f>IF('YEAR 1'!46:46,"AAAAAH7dM5c=",0)</f>
        <v>0</v>
      </c>
      <c r="EW2">
        <f>IF('YEAR 1'!47:47,"AAAAAH7dM5g=",0)</f>
        <v>0</v>
      </c>
      <c r="EX2">
        <f>IF('YEAR 1'!48:48,"AAAAAH7dM5k=",0)</f>
        <v>0</v>
      </c>
      <c r="EY2">
        <f>IF('YEAR 1'!49:49,"AAAAAH7dM5o=",0)</f>
        <v>0</v>
      </c>
      <c r="EZ2">
        <f>IF('YEAR 1'!50:50,"AAAAAH7dM5s=",0)</f>
        <v>0</v>
      </c>
      <c r="FA2">
        <f>IF('YEAR 1'!51:51,"AAAAAH7dM5w=",0)</f>
        <v>0</v>
      </c>
      <c r="FB2">
        <f>IF('YEAR 1'!52:52,"AAAAAH7dM50=",0)</f>
        <v>0</v>
      </c>
      <c r="FC2">
        <f>IF('YEAR 1'!53:53,"AAAAAH7dM54=",0)</f>
        <v>0</v>
      </c>
      <c r="FD2">
        <f>IF('YEAR 1'!54:54,"AAAAAH7dM58=",0)</f>
        <v>0</v>
      </c>
      <c r="FE2">
        <f>IF('YEAR 1'!55:55,"AAAAAH7dM6A=",0)</f>
        <v>0</v>
      </c>
      <c r="FF2">
        <f>IF('YEAR 1'!56:56,"AAAAAH7dM6E=",0)</f>
        <v>0</v>
      </c>
      <c r="FG2">
        <f>IF('YEAR 1'!57:57,"AAAAAH7dM6I=",0)</f>
        <v>0</v>
      </c>
      <c r="FH2">
        <f>IF('YEAR 1'!58:58,"AAAAAH7dM6M=",0)</f>
        <v>0</v>
      </c>
      <c r="FI2">
        <f>IF('YEAR 1'!59:59,"AAAAAH7dM6Q=",0)</f>
        <v>0</v>
      </c>
      <c r="FJ2">
        <f>IF('YEAR 1'!60:60,"AAAAAH7dM6U=",0)</f>
        <v>0</v>
      </c>
      <c r="FK2">
        <f>IF('YEAR 1'!61:61,"AAAAAH7dM6Y=",0)</f>
        <v>0</v>
      </c>
      <c r="FL2">
        <f>IF('YEAR 1'!62:62,"AAAAAH7dM6c=",0)</f>
        <v>0</v>
      </c>
      <c r="FM2">
        <f>IF('YEAR 1'!63:63,"AAAAAH7dM6g=",0)</f>
        <v>0</v>
      </c>
      <c r="FN2">
        <f>IF('YEAR 1'!64:64,"AAAAAH7dM6k=",0)</f>
        <v>0</v>
      </c>
      <c r="FO2">
        <f>IF('YEAR 1'!65:65,"AAAAAH7dM6o=",0)</f>
        <v>0</v>
      </c>
      <c r="FP2">
        <f>IF('YEAR 1'!66:66,"AAAAAH7dM6s=",0)</f>
        <v>0</v>
      </c>
      <c r="FQ2">
        <f>IF('YEAR 1'!67:67,"AAAAAH7dM6w=",0)</f>
        <v>0</v>
      </c>
      <c r="FR2">
        <f>IF('YEAR 1'!68:68,"AAAAAH7dM60=",0)</f>
        <v>0</v>
      </c>
      <c r="FS2">
        <f>IF('YEAR 1'!69:69,"AAAAAH7dM64=",0)</f>
        <v>0</v>
      </c>
      <c r="FT2">
        <f>IF('YEAR 1'!70:70,"AAAAAH7dM68=",0)</f>
        <v>0</v>
      </c>
      <c r="FU2">
        <f>IF('YEAR 1'!71:71,"AAAAAH7dM7A=",0)</f>
        <v>0</v>
      </c>
      <c r="FV2">
        <f>IF('YEAR 1'!72:72,"AAAAAH7dM7E=",0)</f>
        <v>0</v>
      </c>
      <c r="FW2">
        <f>IF('YEAR 1'!73:73,"AAAAAH7dM7I=",0)</f>
        <v>0</v>
      </c>
      <c r="FX2">
        <f>IF('YEAR 1'!74:74,"AAAAAH7dM7M=",0)</f>
        <v>0</v>
      </c>
      <c r="FY2">
        <f>IF('YEAR 1'!75:75,"AAAAAH7dM7Q=",0)</f>
        <v>0</v>
      </c>
      <c r="FZ2">
        <f>IF('YEAR 1'!76:76,"AAAAAH7dM7U=",0)</f>
        <v>0</v>
      </c>
      <c r="GA2">
        <f>IF('YEAR 1'!77:77,"AAAAAH7dM7Y=",0)</f>
        <v>0</v>
      </c>
      <c r="GB2">
        <f>IF('YEAR 1'!78:78,"AAAAAH7dM7c=",0)</f>
        <v>0</v>
      </c>
      <c r="GC2">
        <f>IF('YEAR 1'!79:79,"AAAAAH7dM7g=",0)</f>
        <v>0</v>
      </c>
      <c r="GD2">
        <f>IF('YEAR 1'!80:80,"AAAAAH7dM7k=",0)</f>
        <v>0</v>
      </c>
      <c r="GE2">
        <f>IF('YEAR 1'!81:81,"AAAAAH7dM7o=",0)</f>
        <v>0</v>
      </c>
      <c r="GF2">
        <f>IF('YEAR 1'!82:82,"AAAAAH7dM7s=",0)</f>
        <v>0</v>
      </c>
      <c r="GG2">
        <f>IF('YEAR 1'!83:83,"AAAAAH7dM7w=",0)</f>
        <v>0</v>
      </c>
      <c r="GH2">
        <f>IF('YEAR 1'!84:84,"AAAAAH7dM70=",0)</f>
        <v>0</v>
      </c>
      <c r="GI2">
        <f>IF('YEAR 1'!85:85,"AAAAAH7dM74=",0)</f>
        <v>0</v>
      </c>
      <c r="GJ2">
        <f>IF('YEAR 1'!86:86,"AAAAAH7dM78=",0)</f>
        <v>0</v>
      </c>
      <c r="GK2">
        <f>IF('YEAR 1'!87:87,"AAAAAH7dM8A=",0)</f>
        <v>0</v>
      </c>
      <c r="GL2">
        <f>IF('YEAR 1'!88:88,"AAAAAH7dM8E=",0)</f>
        <v>0</v>
      </c>
      <c r="GM2">
        <f>IF('YEAR 1'!89:89,"AAAAAH7dM8I=",0)</f>
        <v>0</v>
      </c>
      <c r="GN2">
        <f>IF('YEAR 1'!90:90,"AAAAAH7dM8M=",0)</f>
        <v>0</v>
      </c>
      <c r="GO2">
        <f>IF('YEAR 1'!91:91,"AAAAAH7dM8Q=",0)</f>
        <v>0</v>
      </c>
      <c r="GP2">
        <f>IF('YEAR 1'!92:92,"AAAAAH7dM8U=",0)</f>
        <v>0</v>
      </c>
      <c r="GQ2">
        <f>IF('YEAR 1'!93:93,"AAAAAH7dM8Y=",0)</f>
        <v>0</v>
      </c>
      <c r="GR2">
        <f>IF('YEAR 1'!94:94,"AAAAAH7dM8c=",0)</f>
        <v>0</v>
      </c>
      <c r="GS2">
        <f>IF('YEAR 1'!95:95,"AAAAAH7dM8g=",0)</f>
        <v>0</v>
      </c>
      <c r="GT2">
        <f>IF('YEAR 1'!96:96,"AAAAAH7dM8k=",0)</f>
        <v>0</v>
      </c>
      <c r="GU2">
        <f>IF('YEAR 1'!97:97,"AAAAAH7dM8o=",0)</f>
        <v>0</v>
      </c>
      <c r="GV2">
        <f>IF('YEAR 1'!98:98,"AAAAAH7dM8s=",0)</f>
        <v>0</v>
      </c>
      <c r="GW2">
        <f>IF('YEAR 1'!99:99,"AAAAAH7dM8w=",0)</f>
        <v>0</v>
      </c>
      <c r="GX2">
        <f>IF('YEAR 1'!100:100,"AAAAAH7dM80=",0)</f>
        <v>0</v>
      </c>
      <c r="GY2">
        <f>IF('YEAR 1'!101:101,"AAAAAH7dM84=",0)</f>
        <v>0</v>
      </c>
      <c r="GZ2">
        <f>IF('YEAR 1'!A:A,"AAAAAH7dM88=",0)</f>
        <v>0</v>
      </c>
      <c r="HA2">
        <f>IF('YEAR 1'!B:B,"AAAAAH7dM9A=",0)</f>
        <v>0</v>
      </c>
      <c r="HB2" t="e">
        <f>IF('YEAR 1'!#REF!,"AAAAAH7dM9E=",0)</f>
        <v>#REF!</v>
      </c>
      <c r="HC2" t="e">
        <f>IF('YEAR 1'!#REF!,"AAAAAH7dM9I=",0)</f>
        <v>#REF!</v>
      </c>
      <c r="HD2" t="e">
        <f>IF('YEAR 1'!#REF!,"AAAAAH7dM9M=",0)</f>
        <v>#REF!</v>
      </c>
      <c r="HE2">
        <f>IF('YEAR 1'!C:C,"AAAAAH7dM9Q=",0)</f>
        <v>0</v>
      </c>
      <c r="HF2">
        <f>IF('YEAR 1'!D:D,"AAAAAH7dM9U=",0)</f>
        <v>0</v>
      </c>
      <c r="HG2">
        <f>IF('YEAR 1'!E:E,"AAAAAH7dM9Y=",0)</f>
        <v>0</v>
      </c>
      <c r="HH2">
        <f>IF('YEAR 2'!1:1,"AAAAAH7dM9c=",0)</f>
        <v>0</v>
      </c>
      <c r="HI2" t="e">
        <f>AND('YEAR 2'!A1,"AAAAAH7dM9g=")</f>
        <v>#VALUE!</v>
      </c>
      <c r="HJ2">
        <f>IF('YEAR 2'!A:A,"AAAAAH7dM9k=",0)</f>
        <v>0</v>
      </c>
      <c r="HK2" t="e">
        <f>IF('YEAR 3-IBM'!#REF!,"AAAAAH7dM9o=",0)</f>
        <v>#REF!</v>
      </c>
      <c r="HL2" t="e">
        <f>AND('YEAR 3-IBM'!#REF!,"AAAAAH7dM9s=")</f>
        <v>#REF!</v>
      </c>
      <c r="HM2" t="e">
        <f>IF('YEAR 3-IBM'!#REF!,"AAAAAH7dM9w=",0)</f>
        <v>#REF!</v>
      </c>
      <c r="HN2" t="s">
        <v>4</v>
      </c>
      <c r="HO2" t="e">
        <f>IF("N",CodeECTS,"AAAAAH7dM94=")</f>
        <v>#VALUE!</v>
      </c>
      <c r="HP2" t="e">
        <f>IF("N",CreditECTS,"AAAAAH7dM98=")</f>
        <v>#VALUE!</v>
      </c>
      <c r="HQ2" t="e">
        <f>IF("N",DateNaissance,"AAAAAH7dM+A=")</f>
        <v>#VALUE!</v>
      </c>
      <c r="HR2" t="e">
        <f>IF("N",DureeTotale,"AAAAAH7dM+E=")</f>
        <v>#VALUE!</v>
      </c>
      <c r="HS2" t="e">
        <f>IF("N",HomeInstitution,"AAAAAH7dM+I=")</f>
        <v>#VALUE!</v>
      </c>
      <c r="HT2" t="e">
        <f>IF("N",ListeChamps,"AAAAAH7dM+M=")</f>
        <v>#VALUE!</v>
      </c>
      <c r="HU2" t="e">
        <f>IF("N",Matiere,"AAAAAH7dM+Q=")</f>
        <v>#VALUE!</v>
      </c>
      <c r="HV2" t="e">
        <f>IF("N",Nom,"AAAAAH7dM+U=")</f>
        <v>#VALUE!</v>
      </c>
      <c r="HW2" t="e">
        <f>IF("N",Note,"AAAAAH7dM+Y=")</f>
        <v>#VALUE!</v>
      </c>
      <c r="HX2" t="e">
        <f>IF("N",Title,"AAAAAH7dM+c=")</f>
        <v>#VALUE!</v>
      </c>
      <c r="HY2" t="e">
        <f>IF("N",'YEAR 1'!PRINT_AREA,"AAAAAH7dM+g=")</f>
        <v>#VALUE!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PageLayoutView="0" workbookViewId="0" topLeftCell="A1">
      <selection activeCell="A29" sqref="A29"/>
    </sheetView>
  </sheetViews>
  <sheetFormatPr defaultColWidth="11.421875" defaultRowHeight="12.75"/>
  <cols>
    <col min="2" max="2" width="51.57421875" style="0" customWidth="1"/>
    <col min="3" max="3" width="11.00390625" style="0" customWidth="1"/>
    <col min="5" max="5" width="27.7109375" style="0" customWidth="1"/>
    <col min="7" max="7" width="38.00390625" style="0" customWidth="1"/>
  </cols>
  <sheetData>
    <row r="1" spans="1:7" ht="26.25">
      <c r="A1" s="330" t="s">
        <v>143</v>
      </c>
      <c r="B1" s="330"/>
      <c r="C1" s="330"/>
      <c r="D1" s="330"/>
      <c r="E1" s="330"/>
      <c r="F1" s="330"/>
      <c r="G1" s="330"/>
    </row>
    <row r="2" spans="1:7" ht="15.75" customHeight="1">
      <c r="A2" s="85"/>
      <c r="B2" s="324" t="s">
        <v>98</v>
      </c>
      <c r="C2" s="325" t="s">
        <v>99</v>
      </c>
      <c r="D2" s="324" t="s">
        <v>100</v>
      </c>
      <c r="E2" s="327" t="s">
        <v>101</v>
      </c>
      <c r="F2" s="328" t="s">
        <v>102</v>
      </c>
      <c r="G2" s="328" t="s">
        <v>103</v>
      </c>
    </row>
    <row r="3" spans="1:7" ht="12.75">
      <c r="A3" s="85"/>
      <c r="B3" s="324"/>
      <c r="C3" s="326"/>
      <c r="D3" s="324"/>
      <c r="E3" s="327"/>
      <c r="F3" s="329"/>
      <c r="G3" s="329"/>
    </row>
    <row r="4" spans="1:7" ht="12.75">
      <c r="A4" s="85"/>
      <c r="B4" s="325"/>
      <c r="C4" s="326"/>
      <c r="D4" s="325"/>
      <c r="E4" s="328"/>
      <c r="F4" s="329"/>
      <c r="G4" s="329"/>
    </row>
    <row r="5" spans="1:7" ht="18">
      <c r="A5" s="331" t="s">
        <v>104</v>
      </c>
      <c r="B5" s="332"/>
      <c r="C5" s="87"/>
      <c r="D5" s="87"/>
      <c r="E5" s="87"/>
      <c r="F5" s="87"/>
      <c r="G5" s="87"/>
    </row>
    <row r="6" spans="1:7" ht="12.75">
      <c r="A6" s="88">
        <v>1</v>
      </c>
      <c r="B6" s="89" t="s">
        <v>105</v>
      </c>
      <c r="C6" s="90" t="s">
        <v>106</v>
      </c>
      <c r="D6" s="90">
        <v>4</v>
      </c>
      <c r="E6" s="90" t="s">
        <v>107</v>
      </c>
      <c r="F6" s="90" t="s">
        <v>108</v>
      </c>
      <c r="G6" s="90" t="s">
        <v>109</v>
      </c>
    </row>
    <row r="7" spans="1:7" ht="12.75">
      <c r="A7" s="91">
        <v>2</v>
      </c>
      <c r="B7" s="92" t="s">
        <v>110</v>
      </c>
      <c r="C7" s="86" t="s">
        <v>106</v>
      </c>
      <c r="D7" s="86">
        <v>4</v>
      </c>
      <c r="E7" s="86" t="s">
        <v>111</v>
      </c>
      <c r="F7" s="86" t="s">
        <v>108</v>
      </c>
      <c r="G7" s="86" t="s">
        <v>112</v>
      </c>
    </row>
    <row r="8" spans="1:7" ht="12.75">
      <c r="A8" s="91">
        <v>3</v>
      </c>
      <c r="B8" s="92" t="s">
        <v>113</v>
      </c>
      <c r="C8" s="86" t="s">
        <v>106</v>
      </c>
      <c r="D8" s="86">
        <v>4</v>
      </c>
      <c r="E8" s="86" t="s">
        <v>114</v>
      </c>
      <c r="F8" s="86" t="s">
        <v>108</v>
      </c>
      <c r="G8" s="86" t="s">
        <v>112</v>
      </c>
    </row>
    <row r="9" spans="1:7" ht="12.75">
      <c r="A9" s="93">
        <v>4</v>
      </c>
      <c r="B9" s="94" t="s">
        <v>115</v>
      </c>
      <c r="C9" s="95" t="s">
        <v>106</v>
      </c>
      <c r="D9" s="95">
        <v>5</v>
      </c>
      <c r="E9" s="95" t="s">
        <v>116</v>
      </c>
      <c r="F9" s="95" t="s">
        <v>117</v>
      </c>
      <c r="G9" s="95" t="s">
        <v>109</v>
      </c>
    </row>
    <row r="10" spans="1:7" ht="18">
      <c r="A10" s="322" t="s">
        <v>118</v>
      </c>
      <c r="B10" s="323"/>
      <c r="C10" s="96"/>
      <c r="D10" s="96"/>
      <c r="E10" s="96"/>
      <c r="F10" s="96"/>
      <c r="G10" s="96"/>
    </row>
    <row r="11" spans="1:7" ht="12.75">
      <c r="A11" s="88">
        <v>5</v>
      </c>
      <c r="B11" s="89" t="s">
        <v>119</v>
      </c>
      <c r="C11" s="90" t="s">
        <v>106</v>
      </c>
      <c r="D11" s="90">
        <v>2</v>
      </c>
      <c r="E11" s="90" t="s">
        <v>107</v>
      </c>
      <c r="F11" s="90" t="s">
        <v>108</v>
      </c>
      <c r="G11" s="90" t="s">
        <v>120</v>
      </c>
    </row>
    <row r="12" spans="1:7" ht="12.75">
      <c r="A12" s="91">
        <v>6</v>
      </c>
      <c r="B12" s="92" t="s">
        <v>121</v>
      </c>
      <c r="C12" s="86" t="s">
        <v>106</v>
      </c>
      <c r="D12" s="86">
        <v>2</v>
      </c>
      <c r="E12" s="86" t="s">
        <v>122</v>
      </c>
      <c r="F12" s="86" t="s">
        <v>117</v>
      </c>
      <c r="G12" s="86" t="s">
        <v>120</v>
      </c>
    </row>
    <row r="13" spans="1:7" ht="12.75">
      <c r="A13" s="91">
        <v>7</v>
      </c>
      <c r="B13" s="92" t="s">
        <v>123</v>
      </c>
      <c r="C13" s="86" t="s">
        <v>106</v>
      </c>
      <c r="D13" s="95">
        <v>2</v>
      </c>
      <c r="E13" s="86" t="s">
        <v>124</v>
      </c>
      <c r="F13" s="86" t="s">
        <v>108</v>
      </c>
      <c r="G13" s="86" t="s">
        <v>109</v>
      </c>
    </row>
    <row r="14" spans="1:7" ht="12.75">
      <c r="A14" s="93">
        <v>8</v>
      </c>
      <c r="B14" s="94" t="s">
        <v>125</v>
      </c>
      <c r="C14" s="95" t="s">
        <v>126</v>
      </c>
      <c r="D14" s="86">
        <v>3</v>
      </c>
      <c r="E14" s="95" t="s">
        <v>127</v>
      </c>
      <c r="F14" s="95" t="s">
        <v>117</v>
      </c>
      <c r="G14" s="95" t="s">
        <v>112</v>
      </c>
    </row>
    <row r="15" spans="1:7" ht="18">
      <c r="A15" s="322" t="s">
        <v>128</v>
      </c>
      <c r="B15" s="323"/>
      <c r="C15" s="96"/>
      <c r="D15" s="96"/>
      <c r="E15" s="96"/>
      <c r="F15" s="96"/>
      <c r="G15" s="96"/>
    </row>
    <row r="16" spans="1:7" ht="12.75">
      <c r="A16" s="88">
        <v>9</v>
      </c>
      <c r="B16" s="89" t="s">
        <v>129</v>
      </c>
      <c r="C16" s="90" t="s">
        <v>106</v>
      </c>
      <c r="D16" s="90">
        <v>3</v>
      </c>
      <c r="E16" s="90" t="s">
        <v>130</v>
      </c>
      <c r="F16" s="90" t="s">
        <v>117</v>
      </c>
      <c r="G16" s="90" t="s">
        <v>109</v>
      </c>
    </row>
    <row r="17" spans="1:7" ht="12.75">
      <c r="A17" s="91">
        <v>10</v>
      </c>
      <c r="B17" s="92" t="s">
        <v>131</v>
      </c>
      <c r="C17" s="86" t="s">
        <v>106</v>
      </c>
      <c r="D17" s="86">
        <v>3</v>
      </c>
      <c r="E17" s="86" t="s">
        <v>130</v>
      </c>
      <c r="F17" s="86" t="s">
        <v>117</v>
      </c>
      <c r="G17" s="86" t="s">
        <v>109</v>
      </c>
    </row>
    <row r="18" spans="1:7" ht="21" customHeight="1">
      <c r="A18" s="93">
        <v>11</v>
      </c>
      <c r="B18" s="94" t="s">
        <v>132</v>
      </c>
      <c r="C18" s="95" t="s">
        <v>106</v>
      </c>
      <c r="D18" s="95">
        <v>3</v>
      </c>
      <c r="E18" s="95" t="s">
        <v>122</v>
      </c>
      <c r="F18" s="95" t="s">
        <v>117</v>
      </c>
      <c r="G18" s="95" t="s">
        <v>112</v>
      </c>
    </row>
    <row r="19" spans="1:7" ht="18">
      <c r="A19" s="322" t="s">
        <v>133</v>
      </c>
      <c r="B19" s="323"/>
      <c r="C19" s="96"/>
      <c r="D19" s="96"/>
      <c r="E19" s="96"/>
      <c r="F19" s="96"/>
      <c r="G19" s="96"/>
    </row>
    <row r="20" spans="1:7" ht="12.75">
      <c r="A20" s="88">
        <v>12</v>
      </c>
      <c r="B20" s="89" t="s">
        <v>134</v>
      </c>
      <c r="C20" s="90" t="s">
        <v>126</v>
      </c>
      <c r="D20" s="90">
        <v>3</v>
      </c>
      <c r="E20" s="90" t="s">
        <v>127</v>
      </c>
      <c r="F20" s="90" t="s">
        <v>108</v>
      </c>
      <c r="G20" s="90" t="s">
        <v>112</v>
      </c>
    </row>
    <row r="21" spans="1:7" ht="12.75">
      <c r="A21" s="93">
        <v>13</v>
      </c>
      <c r="B21" s="94" t="s">
        <v>135</v>
      </c>
      <c r="C21" s="95" t="s">
        <v>126</v>
      </c>
      <c r="D21" s="95">
        <v>3</v>
      </c>
      <c r="E21" s="95" t="s">
        <v>136</v>
      </c>
      <c r="F21" s="95" t="s">
        <v>117</v>
      </c>
      <c r="G21" s="95" t="s">
        <v>109</v>
      </c>
    </row>
    <row r="22" spans="1:7" ht="18">
      <c r="A22" s="322" t="s">
        <v>137</v>
      </c>
      <c r="B22" s="323"/>
      <c r="C22" s="96"/>
      <c r="D22" s="96"/>
      <c r="E22" s="96"/>
      <c r="F22" s="96"/>
      <c r="G22" s="96"/>
    </row>
    <row r="23" spans="1:7" ht="12.75">
      <c r="A23" s="88">
        <v>14</v>
      </c>
      <c r="B23" s="89" t="s">
        <v>138</v>
      </c>
      <c r="C23" s="90" t="s">
        <v>106</v>
      </c>
      <c r="D23" s="90">
        <v>12</v>
      </c>
      <c r="E23" s="90" t="s">
        <v>122</v>
      </c>
      <c r="F23" s="90" t="s">
        <v>117</v>
      </c>
      <c r="G23" s="90" t="s">
        <v>109</v>
      </c>
    </row>
    <row r="24" spans="1:7" ht="12.75">
      <c r="A24" s="91">
        <v>15</v>
      </c>
      <c r="B24" s="92" t="s">
        <v>139</v>
      </c>
      <c r="C24" s="86" t="s">
        <v>106</v>
      </c>
      <c r="D24" s="86">
        <v>2</v>
      </c>
      <c r="E24" s="86" t="s">
        <v>140</v>
      </c>
      <c r="F24" s="86" t="s">
        <v>117</v>
      </c>
      <c r="G24" s="86" t="s">
        <v>120</v>
      </c>
    </row>
    <row r="25" spans="1:7" ht="12.75">
      <c r="A25" s="91">
        <v>16</v>
      </c>
      <c r="B25" s="92" t="s">
        <v>141</v>
      </c>
      <c r="C25" s="86" t="s">
        <v>106</v>
      </c>
      <c r="D25" s="86">
        <v>5</v>
      </c>
      <c r="E25" s="86" t="s">
        <v>130</v>
      </c>
      <c r="F25" s="86" t="s">
        <v>117</v>
      </c>
      <c r="G25" s="86" t="s">
        <v>109</v>
      </c>
    </row>
    <row r="26" spans="1:7" ht="15.75">
      <c r="A26" s="97"/>
      <c r="B26" s="97"/>
      <c r="C26" s="97"/>
      <c r="D26" s="98">
        <f>SUM(D6:D25)</f>
        <v>60</v>
      </c>
      <c r="E26" s="97"/>
      <c r="F26" s="97"/>
      <c r="G26" s="97"/>
    </row>
    <row r="27" spans="1:7" ht="15.75">
      <c r="A27" s="85"/>
      <c r="B27" s="85"/>
      <c r="C27" s="85"/>
      <c r="D27" s="99" t="s">
        <v>142</v>
      </c>
      <c r="E27" s="85"/>
      <c r="F27" s="85"/>
      <c r="G27" s="85"/>
    </row>
    <row r="29" ht="12.75">
      <c r="A29" s="26" t="s">
        <v>33</v>
      </c>
    </row>
  </sheetData>
  <sheetProtection/>
  <mergeCells count="12">
    <mergeCell ref="A1:G1"/>
    <mergeCell ref="G2:G4"/>
    <mergeCell ref="A5:B5"/>
    <mergeCell ref="A10:B10"/>
    <mergeCell ref="A15:B15"/>
    <mergeCell ref="A19:B19"/>
    <mergeCell ref="A22:B22"/>
    <mergeCell ref="B2:B4"/>
    <mergeCell ref="C2:C4"/>
    <mergeCell ref="D2:D4"/>
    <mergeCell ref="E2:E4"/>
    <mergeCell ref="F2:F4"/>
  </mergeCells>
  <conditionalFormatting sqref="D26">
    <cfRule type="cellIs" priority="1" dxfId="0" operator="equal">
      <formula>60</formula>
    </cfRule>
  </conditionalFormatting>
  <dataValidations count="3">
    <dataValidation type="list" allowBlank="1" showInputMessage="1" showErrorMessage="1" sqref="G6:G25">
      <formula1>"Management et SI,Marketing et relations commerciales,Finance et audit"</formula1>
    </dataValidation>
    <dataValidation type="list" allowBlank="1" showInputMessage="1" showErrorMessage="1" sqref="F6:F25">
      <formula1>"Permanent,Vacataire"</formula1>
    </dataValidation>
    <dataValidation type="list" allowBlank="1" showInputMessage="1" showErrorMessage="1" sqref="C6:C25">
      <formula1>"FR,EN"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C33"/>
  <sheetViews>
    <sheetView zoomScalePageLayoutView="0" workbookViewId="0" topLeftCell="A1">
      <selection activeCell="L16" sqref="L16"/>
    </sheetView>
  </sheetViews>
  <sheetFormatPr defaultColWidth="11.421875" defaultRowHeight="12.75" outlineLevelRow="1"/>
  <cols>
    <col min="1" max="1" width="38.421875" style="34" customWidth="1"/>
    <col min="2" max="2" width="4.7109375" style="34" customWidth="1"/>
    <col min="3" max="3" width="3.7109375" style="173" customWidth="1"/>
    <col min="4" max="4" width="18.421875" style="34" customWidth="1"/>
    <col min="5" max="5" width="50.00390625" style="174" customWidth="1"/>
    <col min="6" max="6" width="81.140625" style="34" customWidth="1"/>
    <col min="7" max="7" width="6.421875" style="34" bestFit="1" customWidth="1"/>
    <col min="8" max="16384" width="11.421875" style="34" customWidth="1"/>
  </cols>
  <sheetData>
    <row r="1" spans="1:6" ht="18">
      <c r="A1" s="337" t="s">
        <v>27</v>
      </c>
      <c r="B1" s="337"/>
      <c r="C1" s="337"/>
      <c r="D1" s="337"/>
      <c r="E1" s="337"/>
      <c r="F1" s="337"/>
    </row>
    <row r="2" ht="16.5" thickBot="1">
      <c r="A2" s="295" t="s">
        <v>33</v>
      </c>
    </row>
    <row r="3" spans="1:6" ht="12.75" customHeight="1" thickBot="1">
      <c r="A3" s="100" t="s">
        <v>36</v>
      </c>
      <c r="B3" s="101" t="s">
        <v>144</v>
      </c>
      <c r="C3" s="101" t="s">
        <v>38</v>
      </c>
      <c r="D3" s="101" t="s">
        <v>39</v>
      </c>
      <c r="E3" s="101" t="s">
        <v>40</v>
      </c>
      <c r="F3" s="102" t="s">
        <v>41</v>
      </c>
    </row>
    <row r="4" spans="1:12" s="107" customFormat="1" ht="12.75" customHeight="1">
      <c r="A4" s="103" t="s">
        <v>145</v>
      </c>
      <c r="B4" s="104">
        <f>+B5+B9+B11</f>
        <v>141</v>
      </c>
      <c r="C4" s="104">
        <f>SUM(C5+C9+C11)</f>
        <v>17</v>
      </c>
      <c r="D4" s="105"/>
      <c r="E4" s="105"/>
      <c r="F4" s="106"/>
      <c r="G4" s="34"/>
      <c r="H4" s="34"/>
      <c r="I4" s="34"/>
      <c r="J4" s="34"/>
      <c r="K4" s="34"/>
      <c r="L4" s="34"/>
    </row>
    <row r="5" spans="1:6" ht="12.75" customHeight="1">
      <c r="A5" s="108" t="s">
        <v>146</v>
      </c>
      <c r="B5" s="109">
        <f>+B6+B8+B7</f>
        <v>57</v>
      </c>
      <c r="C5" s="109">
        <f>SUM(C6:C8)</f>
        <v>7</v>
      </c>
      <c r="D5" s="110"/>
      <c r="E5" s="111"/>
      <c r="F5" s="112"/>
    </row>
    <row r="6" spans="1:6" ht="36.75" customHeight="1">
      <c r="A6" s="113" t="s">
        <v>147</v>
      </c>
      <c r="B6" s="114">
        <v>24</v>
      </c>
      <c r="C6" s="114">
        <v>3</v>
      </c>
      <c r="D6" s="115" t="s">
        <v>148</v>
      </c>
      <c r="E6" s="69" t="s">
        <v>149</v>
      </c>
      <c r="F6" s="116" t="s">
        <v>150</v>
      </c>
    </row>
    <row r="7" spans="1:6" ht="36.75" customHeight="1">
      <c r="A7" s="113" t="s">
        <v>151</v>
      </c>
      <c r="B7" s="114">
        <v>18</v>
      </c>
      <c r="C7" s="114">
        <v>2</v>
      </c>
      <c r="D7" s="115"/>
      <c r="E7" s="69"/>
      <c r="F7" s="116"/>
    </row>
    <row r="8" spans="1:6" ht="24" customHeight="1">
      <c r="A8" s="117" t="s">
        <v>18</v>
      </c>
      <c r="B8" s="118">
        <v>15</v>
      </c>
      <c r="C8" s="118">
        <v>2</v>
      </c>
      <c r="D8" s="119" t="s">
        <v>152</v>
      </c>
      <c r="E8" s="119" t="s">
        <v>153</v>
      </c>
      <c r="F8" s="120" t="s">
        <v>154</v>
      </c>
    </row>
    <row r="9" spans="1:6" ht="12.75">
      <c r="A9" s="121" t="s">
        <v>12</v>
      </c>
      <c r="B9" s="122">
        <f>+B10</f>
        <v>36</v>
      </c>
      <c r="C9" s="122">
        <f>SUM(C10:C10)</f>
        <v>4</v>
      </c>
      <c r="D9" s="123"/>
      <c r="E9" s="123"/>
      <c r="F9" s="124"/>
    </row>
    <row r="10" spans="1:6" ht="12.75" customHeight="1">
      <c r="A10" s="125" t="s">
        <v>155</v>
      </c>
      <c r="B10" s="126">
        <v>36</v>
      </c>
      <c r="C10" s="126">
        <v>4</v>
      </c>
      <c r="D10" s="127"/>
      <c r="E10" s="127"/>
      <c r="F10" s="128"/>
    </row>
    <row r="11" spans="1:6" ht="12.75" customHeight="1">
      <c r="A11" s="121" t="s">
        <v>156</v>
      </c>
      <c r="B11" s="122">
        <f>SUM(B12:B13)</f>
        <v>48</v>
      </c>
      <c r="C11" s="129">
        <f>SUM(C12:C13)</f>
        <v>6</v>
      </c>
      <c r="D11" s="66"/>
      <c r="E11" s="130"/>
      <c r="F11" s="131"/>
    </row>
    <row r="12" spans="1:6" ht="24.75" customHeight="1">
      <c r="A12" s="117" t="s">
        <v>17</v>
      </c>
      <c r="B12" s="118">
        <v>30</v>
      </c>
      <c r="C12" s="118">
        <v>4</v>
      </c>
      <c r="D12" s="119" t="s">
        <v>157</v>
      </c>
      <c r="E12" s="127" t="s">
        <v>158</v>
      </c>
      <c r="F12" s="128" t="s">
        <v>159</v>
      </c>
    </row>
    <row r="13" spans="1:6" ht="12.75" customHeight="1" thickBot="1">
      <c r="A13" s="132" t="s">
        <v>160</v>
      </c>
      <c r="B13" s="133">
        <v>18</v>
      </c>
      <c r="C13" s="133">
        <v>2</v>
      </c>
      <c r="D13" s="134" t="s">
        <v>161</v>
      </c>
      <c r="E13" s="134" t="s">
        <v>162</v>
      </c>
      <c r="F13" s="135" t="s">
        <v>163</v>
      </c>
    </row>
    <row r="14" spans="1:6" ht="14.25" customHeight="1">
      <c r="A14" s="136" t="s">
        <v>164</v>
      </c>
      <c r="B14" s="137">
        <f>+B15+B19+B20</f>
        <v>99</v>
      </c>
      <c r="C14" s="137">
        <f>SUM(C15+C19+C20)</f>
        <v>14</v>
      </c>
      <c r="D14" s="138"/>
      <c r="E14" s="138"/>
      <c r="F14" s="139"/>
    </row>
    <row r="15" spans="1:6" ht="20.25" customHeight="1" outlineLevel="1">
      <c r="A15" s="121" t="s">
        <v>165</v>
      </c>
      <c r="B15" s="129">
        <f>+B16+B18</f>
        <v>42</v>
      </c>
      <c r="C15" s="129">
        <f>SUM(C16:C17)</f>
        <v>6</v>
      </c>
      <c r="D15" s="123"/>
      <c r="E15" s="123"/>
      <c r="F15" s="140"/>
    </row>
    <row r="16" spans="1:6" ht="23.25" customHeight="1">
      <c r="A16" s="117" t="s">
        <v>166</v>
      </c>
      <c r="B16" s="141">
        <v>24</v>
      </c>
      <c r="C16" s="118">
        <v>3</v>
      </c>
      <c r="D16" s="119" t="s">
        <v>167</v>
      </c>
      <c r="E16" s="119" t="s">
        <v>168</v>
      </c>
      <c r="F16" s="120" t="s">
        <v>169</v>
      </c>
    </row>
    <row r="17" spans="1:6" ht="12.75" customHeight="1">
      <c r="A17" s="342" t="s">
        <v>20</v>
      </c>
      <c r="B17" s="141"/>
      <c r="C17" s="343">
        <v>3</v>
      </c>
      <c r="D17" s="333" t="s">
        <v>170</v>
      </c>
      <c r="E17" s="333" t="s">
        <v>171</v>
      </c>
      <c r="F17" s="334" t="s">
        <v>172</v>
      </c>
    </row>
    <row r="18" spans="1:6" ht="24" customHeight="1">
      <c r="A18" s="342"/>
      <c r="B18" s="142">
        <v>18</v>
      </c>
      <c r="C18" s="343"/>
      <c r="D18" s="333"/>
      <c r="E18" s="333"/>
      <c r="F18" s="334"/>
    </row>
    <row r="19" spans="1:6" ht="25.5">
      <c r="A19" s="121" t="s">
        <v>173</v>
      </c>
      <c r="B19" s="143">
        <v>18</v>
      </c>
      <c r="C19" s="143">
        <v>4</v>
      </c>
      <c r="D19" s="119" t="s">
        <v>174</v>
      </c>
      <c r="E19" s="119" t="s">
        <v>153</v>
      </c>
      <c r="F19" s="120" t="s">
        <v>175</v>
      </c>
    </row>
    <row r="20" spans="1:6" ht="12.75" customHeight="1">
      <c r="A20" s="121" t="s">
        <v>176</v>
      </c>
      <c r="B20" s="144">
        <v>39</v>
      </c>
      <c r="C20" s="122">
        <v>4</v>
      </c>
      <c r="D20" s="123" t="s">
        <v>177</v>
      </c>
      <c r="E20" s="123" t="s">
        <v>178</v>
      </c>
      <c r="F20" s="140" t="s">
        <v>179</v>
      </c>
    </row>
    <row r="21" spans="1:6" ht="12.75">
      <c r="A21" s="145" t="s">
        <v>180</v>
      </c>
      <c r="B21" s="46">
        <f>+B22+B25</f>
        <v>48</v>
      </c>
      <c r="C21" s="46">
        <f>SUM(C22+C25)</f>
        <v>9</v>
      </c>
      <c r="D21" s="48"/>
      <c r="E21" s="48"/>
      <c r="F21" s="61"/>
    </row>
    <row r="22" spans="1:159" ht="12.75" customHeight="1">
      <c r="A22" s="146" t="s">
        <v>181</v>
      </c>
      <c r="B22" s="147">
        <f>+B23</f>
        <v>27</v>
      </c>
      <c r="C22" s="148">
        <f>SUM(C23:C24)</f>
        <v>6</v>
      </c>
      <c r="D22" s="66"/>
      <c r="E22" s="149"/>
      <c r="F22" s="131"/>
      <c r="G22" s="150"/>
      <c r="H22" s="151"/>
      <c r="I22" s="152"/>
      <c r="J22" s="152"/>
      <c r="K22" s="153"/>
      <c r="L22" s="154"/>
      <c r="M22" s="150"/>
      <c r="N22" s="155"/>
      <c r="O22" s="150"/>
      <c r="P22" s="151"/>
      <c r="Q22" s="152"/>
      <c r="R22" s="152"/>
      <c r="S22" s="153"/>
      <c r="T22" s="154"/>
      <c r="U22" s="150"/>
      <c r="V22" s="155"/>
      <c r="W22" s="150"/>
      <c r="X22" s="151"/>
      <c r="Y22" s="152"/>
      <c r="Z22" s="152"/>
      <c r="AA22" s="153"/>
      <c r="AB22" s="154"/>
      <c r="AC22" s="150"/>
      <c r="AD22" s="155"/>
      <c r="AE22" s="150"/>
      <c r="AF22" s="151"/>
      <c r="AG22" s="152"/>
      <c r="AH22" s="152"/>
      <c r="AI22" s="153"/>
      <c r="AJ22" s="154"/>
      <c r="AK22" s="150"/>
      <c r="AL22" s="155"/>
      <c r="AM22" s="150"/>
      <c r="AN22" s="151"/>
      <c r="AO22" s="152"/>
      <c r="AP22" s="152"/>
      <c r="AQ22" s="153"/>
      <c r="AR22" s="154"/>
      <c r="AS22" s="150"/>
      <c r="AT22" s="155"/>
      <c r="AU22" s="150"/>
      <c r="AV22" s="151"/>
      <c r="AW22" s="152"/>
      <c r="AX22" s="152"/>
      <c r="AY22" s="153"/>
      <c r="AZ22" s="154"/>
      <c r="BA22" s="150"/>
      <c r="BB22" s="155"/>
      <c r="BC22" s="150"/>
      <c r="BD22" s="151"/>
      <c r="BE22" s="152"/>
      <c r="BF22" s="152"/>
      <c r="BG22" s="153"/>
      <c r="BH22" s="154"/>
      <c r="BI22" s="150"/>
      <c r="BJ22" s="155"/>
      <c r="BK22" s="150"/>
      <c r="BL22" s="151"/>
      <c r="BM22" s="152"/>
      <c r="BN22" s="152"/>
      <c r="BO22" s="153"/>
      <c r="BP22" s="154"/>
      <c r="BQ22" s="150"/>
      <c r="BR22" s="155"/>
      <c r="BS22" s="150"/>
      <c r="BT22" s="151"/>
      <c r="BU22" s="152"/>
      <c r="BV22" s="152"/>
      <c r="BW22" s="153"/>
      <c r="BX22" s="154"/>
      <c r="BY22" s="150"/>
      <c r="BZ22" s="155"/>
      <c r="CA22" s="150"/>
      <c r="CB22" s="151"/>
      <c r="CC22" s="152"/>
      <c r="CD22" s="152"/>
      <c r="CE22" s="153"/>
      <c r="CF22" s="154"/>
      <c r="CG22" s="150"/>
      <c r="CH22" s="155"/>
      <c r="CI22" s="150"/>
      <c r="CJ22" s="151"/>
      <c r="CK22" s="152"/>
      <c r="CL22" s="152"/>
      <c r="CM22" s="153"/>
      <c r="CN22" s="154"/>
      <c r="CO22" s="150"/>
      <c r="CP22" s="155"/>
      <c r="CQ22" s="150"/>
      <c r="CR22" s="151"/>
      <c r="CS22" s="152"/>
      <c r="CT22" s="152"/>
      <c r="CU22" s="153"/>
      <c r="CV22" s="154"/>
      <c r="CW22" s="150"/>
      <c r="CX22" s="155"/>
      <c r="CY22" s="150"/>
      <c r="CZ22" s="151"/>
      <c r="DA22" s="152"/>
      <c r="DB22" s="152"/>
      <c r="DC22" s="153"/>
      <c r="DD22" s="154"/>
      <c r="DE22" s="150"/>
      <c r="DF22" s="155"/>
      <c r="DG22" s="150"/>
      <c r="DH22" s="151"/>
      <c r="DI22" s="152"/>
      <c r="DJ22" s="152"/>
      <c r="DK22" s="153"/>
      <c r="DL22" s="154"/>
      <c r="DM22" s="150"/>
      <c r="DN22" s="155"/>
      <c r="DO22" s="150"/>
      <c r="DP22" s="151"/>
      <c r="DQ22" s="152"/>
      <c r="DR22" s="152"/>
      <c r="DS22" s="153"/>
      <c r="DT22" s="154"/>
      <c r="DU22" s="150"/>
      <c r="DV22" s="155"/>
      <c r="DW22" s="150"/>
      <c r="DX22" s="151"/>
      <c r="DY22" s="152"/>
      <c r="DZ22" s="152"/>
      <c r="EA22" s="153"/>
      <c r="EB22" s="154"/>
      <c r="EC22" s="150"/>
      <c r="ED22" s="155"/>
      <c r="EE22" s="150"/>
      <c r="EF22" s="151"/>
      <c r="EG22" s="152"/>
      <c r="EH22" s="152"/>
      <c r="EI22" s="153"/>
      <c r="EJ22" s="154"/>
      <c r="EK22" s="150"/>
      <c r="EL22" s="155"/>
      <c r="EM22" s="150"/>
      <c r="EN22" s="151"/>
      <c r="EO22" s="152"/>
      <c r="EP22" s="152"/>
      <c r="EQ22" s="153"/>
      <c r="ER22" s="154"/>
      <c r="ES22" s="150"/>
      <c r="ET22" s="155"/>
      <c r="EU22" s="150"/>
      <c r="EV22" s="151"/>
      <c r="EW22" s="152"/>
      <c r="EX22" s="152"/>
      <c r="EY22" s="153"/>
      <c r="EZ22" s="154"/>
      <c r="FA22" s="150"/>
      <c r="FB22" s="155"/>
      <c r="FC22" s="150"/>
    </row>
    <row r="23" spans="1:6" ht="35.25" customHeight="1">
      <c r="A23" s="156" t="s">
        <v>19</v>
      </c>
      <c r="B23" s="157">
        <v>27</v>
      </c>
      <c r="C23" s="158">
        <v>3</v>
      </c>
      <c r="D23" s="159" t="s">
        <v>148</v>
      </c>
      <c r="E23" s="159" t="s">
        <v>149</v>
      </c>
      <c r="F23" s="116" t="s">
        <v>150</v>
      </c>
    </row>
    <row r="24" spans="1:6" ht="15" customHeight="1">
      <c r="A24" s="156" t="s">
        <v>182</v>
      </c>
      <c r="B24" s="157"/>
      <c r="C24" s="158">
        <v>3</v>
      </c>
      <c r="D24" s="159"/>
      <c r="E24" s="127"/>
      <c r="F24" s="116"/>
    </row>
    <row r="25" spans="1:6" ht="12.75" customHeight="1">
      <c r="A25" s="146" t="s">
        <v>183</v>
      </c>
      <c r="B25" s="147">
        <v>21</v>
      </c>
      <c r="C25" s="148">
        <v>3</v>
      </c>
      <c r="D25" s="149" t="s">
        <v>184</v>
      </c>
      <c r="E25" s="160" t="s">
        <v>185</v>
      </c>
      <c r="F25" s="161" t="s">
        <v>186</v>
      </c>
    </row>
    <row r="26" spans="1:6" ht="12.75">
      <c r="A26" s="145" t="s">
        <v>86</v>
      </c>
      <c r="B26" s="46">
        <f>+B28+B30</f>
        <v>12</v>
      </c>
      <c r="C26" s="46">
        <f>SUM(C27:C30)</f>
        <v>20</v>
      </c>
      <c r="D26" s="48"/>
      <c r="E26" s="60"/>
      <c r="F26" s="162"/>
    </row>
    <row r="27" spans="1:6" ht="12.75">
      <c r="A27" s="163" t="s">
        <v>87</v>
      </c>
      <c r="B27" s="164"/>
      <c r="C27" s="165">
        <v>6</v>
      </c>
      <c r="D27" s="53"/>
      <c r="E27" s="42"/>
      <c r="F27" s="166"/>
    </row>
    <row r="28" spans="1:6" ht="12.75" customHeight="1">
      <c r="A28" s="338" t="s">
        <v>187</v>
      </c>
      <c r="B28" s="339">
        <v>6</v>
      </c>
      <c r="C28" s="340">
        <v>12</v>
      </c>
      <c r="D28" s="314" t="s">
        <v>157</v>
      </c>
      <c r="E28" s="341" t="s">
        <v>158</v>
      </c>
      <c r="F28" s="316" t="s">
        <v>159</v>
      </c>
    </row>
    <row r="29" spans="1:7" ht="14.25" customHeight="1">
      <c r="A29" s="338"/>
      <c r="B29" s="339"/>
      <c r="C29" s="340"/>
      <c r="D29" s="314"/>
      <c r="E29" s="341"/>
      <c r="F29" s="316"/>
      <c r="G29" s="168"/>
    </row>
    <row r="30" spans="1:6" ht="26.25" thickBot="1">
      <c r="A30" s="169" t="s">
        <v>188</v>
      </c>
      <c r="B30" s="170">
        <v>6</v>
      </c>
      <c r="C30" s="170">
        <v>2</v>
      </c>
      <c r="D30" s="159" t="s">
        <v>148</v>
      </c>
      <c r="E30" s="159" t="s">
        <v>149</v>
      </c>
      <c r="F30" s="116" t="s">
        <v>189</v>
      </c>
    </row>
    <row r="31" spans="1:6" ht="12.75" customHeight="1" thickBot="1">
      <c r="A31" s="171" t="s">
        <v>190</v>
      </c>
      <c r="B31" s="74">
        <f>+B26+B21+B14+B4</f>
        <v>300</v>
      </c>
      <c r="C31" s="172">
        <f>SUM(C4+C14+C21+C26)</f>
        <v>60</v>
      </c>
      <c r="D31" s="335"/>
      <c r="E31" s="335"/>
      <c r="F31" s="336"/>
    </row>
    <row r="32" ht="10.5" customHeight="1" thickBot="1">
      <c r="A32" s="84"/>
    </row>
    <row r="33" spans="1:6" ht="12.75" customHeight="1" thickBot="1">
      <c r="A33" s="318" t="s">
        <v>191</v>
      </c>
      <c r="B33" s="319"/>
      <c r="C33" s="319"/>
      <c r="D33" s="319"/>
      <c r="E33" s="319"/>
      <c r="F33" s="320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14">
    <mergeCell ref="F28:F29"/>
    <mergeCell ref="A17:A18"/>
    <mergeCell ref="C17:C18"/>
    <mergeCell ref="D17:D18"/>
    <mergeCell ref="E17:E18"/>
    <mergeCell ref="F17:F18"/>
    <mergeCell ref="D31:F31"/>
    <mergeCell ref="A33:F33"/>
    <mergeCell ref="A1:F1"/>
    <mergeCell ref="A28:A29"/>
    <mergeCell ref="B28:B29"/>
    <mergeCell ref="C28:C29"/>
    <mergeCell ref="D28:D29"/>
    <mergeCell ref="E28:E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G56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41.140625" style="255" customWidth="1"/>
    <col min="2" max="2" width="3.421875" style="261" customWidth="1"/>
    <col min="3" max="3" width="2.7109375" style="262" customWidth="1"/>
    <col min="4" max="4" width="14.00390625" style="263" customWidth="1"/>
    <col min="5" max="5" width="43.00390625" style="276" customWidth="1"/>
    <col min="6" max="6" width="55.7109375" style="0" customWidth="1"/>
  </cols>
  <sheetData>
    <row r="1" spans="1:6" ht="18">
      <c r="A1" s="347" t="s">
        <v>28</v>
      </c>
      <c r="B1" s="347"/>
      <c r="C1" s="347"/>
      <c r="D1" s="347"/>
      <c r="E1" s="347"/>
      <c r="F1" s="347"/>
    </row>
    <row r="2" ht="18.75" thickBot="1">
      <c r="A2" s="296" t="s">
        <v>33</v>
      </c>
    </row>
    <row r="3" spans="1:6" ht="9" customHeight="1">
      <c r="A3" s="175" t="s">
        <v>36</v>
      </c>
      <c r="B3" s="176" t="s">
        <v>144</v>
      </c>
      <c r="C3" s="177" t="s">
        <v>38</v>
      </c>
      <c r="D3" s="178" t="s">
        <v>39</v>
      </c>
      <c r="E3" s="179" t="s">
        <v>40</v>
      </c>
      <c r="F3" s="180" t="s">
        <v>41</v>
      </c>
    </row>
    <row r="4" spans="1:6" ht="13.5" customHeight="1">
      <c r="A4" s="181" t="s">
        <v>192</v>
      </c>
      <c r="B4" s="182">
        <v>45</v>
      </c>
      <c r="C4" s="183">
        <v>6</v>
      </c>
      <c r="D4" s="184"/>
      <c r="E4" s="185"/>
      <c r="F4" s="186"/>
    </row>
    <row r="5" spans="1:6" ht="12" customHeight="1">
      <c r="A5" s="187" t="s">
        <v>193</v>
      </c>
      <c r="B5" s="188">
        <f>SUM(B6:B7)</f>
        <v>30</v>
      </c>
      <c r="C5" s="189">
        <f>SUM(C6:C7)</f>
        <v>4</v>
      </c>
      <c r="D5" s="184"/>
      <c r="E5" s="185"/>
      <c r="F5" s="186"/>
    </row>
    <row r="6" spans="1:6" ht="13.5" customHeight="1">
      <c r="A6" s="190" t="s">
        <v>194</v>
      </c>
      <c r="B6" s="191">
        <v>15</v>
      </c>
      <c r="C6" s="192">
        <v>2</v>
      </c>
      <c r="D6" s="193" t="s">
        <v>195</v>
      </c>
      <c r="E6" s="194" t="s">
        <v>196</v>
      </c>
      <c r="F6" s="195" t="s">
        <v>197</v>
      </c>
    </row>
    <row r="7" spans="1:6" ht="13.5" customHeight="1">
      <c r="A7" s="163" t="s">
        <v>198</v>
      </c>
      <c r="B7" s="196">
        <v>15</v>
      </c>
      <c r="C7" s="197">
        <v>2</v>
      </c>
      <c r="D7" s="42" t="s">
        <v>199</v>
      </c>
      <c r="E7" s="127" t="s">
        <v>200</v>
      </c>
      <c r="F7" s="198" t="s">
        <v>201</v>
      </c>
    </row>
    <row r="8" spans="1:7" s="199" customFormat="1" ht="15" customHeight="1">
      <c r="A8" s="187" t="s">
        <v>202</v>
      </c>
      <c r="B8" s="188">
        <f>SUM(B9:B9)</f>
        <v>15</v>
      </c>
      <c r="C8" s="189">
        <f>SUM(C9:C9)</f>
        <v>2</v>
      </c>
      <c r="D8" s="49"/>
      <c r="E8" s="185"/>
      <c r="F8" s="186"/>
      <c r="G8"/>
    </row>
    <row r="9" spans="1:6" ht="24.75" customHeight="1">
      <c r="A9" s="200" t="s">
        <v>203</v>
      </c>
      <c r="B9" s="201">
        <v>15</v>
      </c>
      <c r="C9" s="202">
        <v>2</v>
      </c>
      <c r="D9" s="203" t="s">
        <v>204</v>
      </c>
      <c r="E9" s="204" t="s">
        <v>205</v>
      </c>
      <c r="F9" s="205" t="s">
        <v>206</v>
      </c>
    </row>
    <row r="10" spans="1:6" ht="13.5">
      <c r="A10" s="181" t="s">
        <v>207</v>
      </c>
      <c r="B10" s="182">
        <v>255</v>
      </c>
      <c r="C10" s="183">
        <v>54</v>
      </c>
      <c r="D10" s="184"/>
      <c r="E10" s="185"/>
      <c r="F10" s="186"/>
    </row>
    <row r="11" spans="1:6" ht="13.5">
      <c r="A11" s="187" t="s">
        <v>208</v>
      </c>
      <c r="B11" s="188">
        <v>75</v>
      </c>
      <c r="C11" s="189">
        <v>11</v>
      </c>
      <c r="D11" s="206"/>
      <c r="E11" s="207"/>
      <c r="F11" s="208"/>
    </row>
    <row r="12" spans="1:7" ht="12" customHeight="1">
      <c r="A12" s="209" t="s">
        <v>209</v>
      </c>
      <c r="B12" s="210">
        <v>30</v>
      </c>
      <c r="C12" s="192">
        <v>3</v>
      </c>
      <c r="D12" s="193" t="s">
        <v>210</v>
      </c>
      <c r="E12" s="211" t="s">
        <v>211</v>
      </c>
      <c r="F12" s="212" t="s">
        <v>212</v>
      </c>
      <c r="G12" s="199"/>
    </row>
    <row r="13" spans="1:6" ht="12.75" customHeight="1">
      <c r="A13" s="209" t="s">
        <v>213</v>
      </c>
      <c r="B13" s="210">
        <v>15</v>
      </c>
      <c r="C13" s="192">
        <v>2</v>
      </c>
      <c r="D13" s="193" t="s">
        <v>210</v>
      </c>
      <c r="E13" s="211" t="s">
        <v>211</v>
      </c>
      <c r="F13" s="280" t="s">
        <v>212</v>
      </c>
    </row>
    <row r="14" spans="1:6" ht="21" customHeight="1">
      <c r="A14" s="190" t="s">
        <v>214</v>
      </c>
      <c r="B14" s="210">
        <v>15</v>
      </c>
      <c r="C14" s="192">
        <v>3</v>
      </c>
      <c r="D14" s="193" t="s">
        <v>215</v>
      </c>
      <c r="E14" s="194" t="s">
        <v>216</v>
      </c>
      <c r="F14" s="281" t="s">
        <v>217</v>
      </c>
    </row>
    <row r="15" spans="1:6" ht="12.75" customHeight="1">
      <c r="A15" s="213" t="s">
        <v>218</v>
      </c>
      <c r="B15" s="201">
        <v>15</v>
      </c>
      <c r="C15" s="202">
        <v>3</v>
      </c>
      <c r="D15" s="214" t="s">
        <v>204</v>
      </c>
      <c r="E15" s="204" t="s">
        <v>205</v>
      </c>
      <c r="F15" s="205" t="s">
        <v>206</v>
      </c>
    </row>
    <row r="16" spans="1:6" ht="21.75" customHeight="1">
      <c r="A16" s="187" t="s">
        <v>219</v>
      </c>
      <c r="B16" s="188">
        <v>60</v>
      </c>
      <c r="C16" s="189">
        <v>9</v>
      </c>
      <c r="D16" s="206"/>
      <c r="E16" s="207"/>
      <c r="F16" s="212"/>
    </row>
    <row r="17" spans="1:6" ht="12.75" customHeight="1">
      <c r="A17" s="215" t="s">
        <v>220</v>
      </c>
      <c r="B17" s="216">
        <v>30</v>
      </c>
      <c r="C17" s="217">
        <v>3</v>
      </c>
      <c r="D17" s="218" t="s">
        <v>221</v>
      </c>
      <c r="E17" s="219" t="s">
        <v>222</v>
      </c>
      <c r="F17" s="220" t="s">
        <v>223</v>
      </c>
    </row>
    <row r="18" spans="1:6" ht="25.5" customHeight="1">
      <c r="A18" s="221" t="s">
        <v>224</v>
      </c>
      <c r="B18" s="196">
        <v>15</v>
      </c>
      <c r="C18" s="41">
        <v>3</v>
      </c>
      <c r="D18" s="58" t="s">
        <v>225</v>
      </c>
      <c r="E18" s="127" t="s">
        <v>226</v>
      </c>
      <c r="F18" s="222" t="s">
        <v>227</v>
      </c>
    </row>
    <row r="19" spans="1:6" ht="12.75" customHeight="1">
      <c r="A19" s="167" t="s">
        <v>228</v>
      </c>
      <c r="B19" s="196">
        <v>15</v>
      </c>
      <c r="C19" s="41">
        <v>3</v>
      </c>
      <c r="D19" s="69" t="s">
        <v>229</v>
      </c>
      <c r="E19" s="223" t="s">
        <v>230</v>
      </c>
      <c r="F19" s="224" t="s">
        <v>231</v>
      </c>
    </row>
    <row r="20" spans="1:6" ht="12.75" customHeight="1">
      <c r="A20" s="187" t="s">
        <v>232</v>
      </c>
      <c r="B20" s="188">
        <v>45</v>
      </c>
      <c r="C20" s="189">
        <v>6</v>
      </c>
      <c r="D20" s="225"/>
      <c r="E20" s="185"/>
      <c r="F20" s="186"/>
    </row>
    <row r="21" spans="1:6" ht="11.25" customHeight="1">
      <c r="A21" s="209" t="s">
        <v>233</v>
      </c>
      <c r="B21" s="191">
        <v>15</v>
      </c>
      <c r="C21" s="226">
        <v>2</v>
      </c>
      <c r="D21" s="227" t="s">
        <v>234</v>
      </c>
      <c r="E21" s="194" t="s">
        <v>235</v>
      </c>
      <c r="F21" s="228" t="s">
        <v>236</v>
      </c>
    </row>
    <row r="22" spans="1:6" ht="11.25" customHeight="1">
      <c r="A22" s="167" t="s">
        <v>237</v>
      </c>
      <c r="B22" s="229">
        <v>15</v>
      </c>
      <c r="C22" s="230">
        <v>2</v>
      </c>
      <c r="D22" s="115" t="s">
        <v>238</v>
      </c>
      <c r="E22" s="223" t="s">
        <v>239</v>
      </c>
      <c r="F22" s="224" t="s">
        <v>240</v>
      </c>
    </row>
    <row r="23" spans="1:6" ht="11.25" customHeight="1">
      <c r="A23" s="167" t="s">
        <v>241</v>
      </c>
      <c r="B23" s="229">
        <v>15</v>
      </c>
      <c r="C23" s="230">
        <v>2</v>
      </c>
      <c r="D23" s="115" t="s">
        <v>229</v>
      </c>
      <c r="E23" s="223" t="s">
        <v>230</v>
      </c>
      <c r="F23" s="224" t="s">
        <v>242</v>
      </c>
    </row>
    <row r="24" spans="1:6" ht="11.25" customHeight="1">
      <c r="A24" s="187" t="s">
        <v>243</v>
      </c>
      <c r="B24" s="188">
        <v>60</v>
      </c>
      <c r="C24" s="189">
        <v>8</v>
      </c>
      <c r="D24" s="225"/>
      <c r="E24" s="185"/>
      <c r="F24" s="186"/>
    </row>
    <row r="25" spans="1:6" ht="24" customHeight="1">
      <c r="A25" s="209" t="s">
        <v>244</v>
      </c>
      <c r="B25" s="191">
        <v>15</v>
      </c>
      <c r="C25" s="231">
        <v>2</v>
      </c>
      <c r="D25" s="193" t="s">
        <v>245</v>
      </c>
      <c r="E25" s="211" t="s">
        <v>246</v>
      </c>
      <c r="F25" s="212" t="s">
        <v>247</v>
      </c>
    </row>
    <row r="26" spans="1:6" ht="0.75" customHeight="1">
      <c r="A26" s="232" t="s">
        <v>248</v>
      </c>
      <c r="B26" s="229">
        <v>15</v>
      </c>
      <c r="C26" s="63">
        <v>2</v>
      </c>
      <c r="D26" s="69" t="s">
        <v>249</v>
      </c>
      <c r="E26" s="223" t="s">
        <v>250</v>
      </c>
      <c r="F26" s="224" t="s">
        <v>251</v>
      </c>
    </row>
    <row r="27" spans="1:7" s="239" customFormat="1" ht="10.5" customHeight="1">
      <c r="A27" s="233" t="s">
        <v>252</v>
      </c>
      <c r="B27" s="234">
        <v>15</v>
      </c>
      <c r="C27" s="235">
        <v>2</v>
      </c>
      <c r="D27" s="236" t="s">
        <v>253</v>
      </c>
      <c r="E27" s="237" t="s">
        <v>226</v>
      </c>
      <c r="F27" s="238" t="s">
        <v>254</v>
      </c>
      <c r="G27"/>
    </row>
    <row r="28" spans="1:7" s="239" customFormat="1" ht="10.5" customHeight="1">
      <c r="A28" s="233" t="s">
        <v>248</v>
      </c>
      <c r="B28" s="234">
        <v>15</v>
      </c>
      <c r="C28" s="235">
        <v>2</v>
      </c>
      <c r="D28" s="236" t="s">
        <v>249</v>
      </c>
      <c r="E28" s="237" t="s">
        <v>250</v>
      </c>
      <c r="F28" s="238" t="s">
        <v>255</v>
      </c>
      <c r="G28"/>
    </row>
    <row r="29" spans="1:7" s="239" customFormat="1" ht="10.5" customHeight="1">
      <c r="A29" s="232" t="s">
        <v>256</v>
      </c>
      <c r="B29" s="234">
        <v>15</v>
      </c>
      <c r="C29" s="235">
        <v>2</v>
      </c>
      <c r="D29" s="236" t="s">
        <v>257</v>
      </c>
      <c r="E29" s="237" t="s">
        <v>258</v>
      </c>
      <c r="F29" s="238" t="s">
        <v>259</v>
      </c>
      <c r="G29"/>
    </row>
    <row r="30" spans="1:6" ht="13.5">
      <c r="A30" s="240" t="s">
        <v>260</v>
      </c>
      <c r="B30" s="188">
        <v>15</v>
      </c>
      <c r="C30" s="189">
        <v>20</v>
      </c>
      <c r="D30" s="49"/>
      <c r="E30" s="185"/>
      <c r="F30" s="186"/>
    </row>
    <row r="31" spans="1:6" ht="13.5">
      <c r="A31" s="241" t="s">
        <v>87</v>
      </c>
      <c r="B31" s="191"/>
      <c r="C31" s="231">
        <v>6</v>
      </c>
      <c r="D31" s="193"/>
      <c r="E31" s="211"/>
      <c r="F31" s="242"/>
    </row>
    <row r="32" spans="1:6" ht="25.5">
      <c r="A32" s="232" t="s">
        <v>187</v>
      </c>
      <c r="B32" s="229">
        <v>6</v>
      </c>
      <c r="C32" s="63">
        <v>12</v>
      </c>
      <c r="D32" s="69" t="s">
        <v>261</v>
      </c>
      <c r="E32" s="223" t="s">
        <v>262</v>
      </c>
      <c r="F32" s="243" t="s">
        <v>263</v>
      </c>
    </row>
    <row r="33" spans="1:7" ht="13.5">
      <c r="A33" s="232" t="s">
        <v>264</v>
      </c>
      <c r="B33" s="229">
        <v>9</v>
      </c>
      <c r="C33" s="63">
        <v>2</v>
      </c>
      <c r="D33" s="69" t="s">
        <v>265</v>
      </c>
      <c r="E33" s="223" t="s">
        <v>266</v>
      </c>
      <c r="F33" s="224" t="s">
        <v>267</v>
      </c>
      <c r="G33" s="239"/>
    </row>
    <row r="34" spans="1:6" ht="26.25" thickBot="1">
      <c r="A34" s="244" t="s">
        <v>268</v>
      </c>
      <c r="B34" s="245">
        <v>300</v>
      </c>
      <c r="C34" s="245">
        <v>60</v>
      </c>
      <c r="D34" s="246"/>
      <c r="E34" s="247"/>
      <c r="F34" s="248"/>
    </row>
    <row r="35" spans="1:6" ht="14.25" thickBot="1">
      <c r="A35" s="249"/>
      <c r="B35" s="250"/>
      <c r="C35" s="251"/>
      <c r="D35" s="252"/>
      <c r="E35" s="253"/>
      <c r="F35" s="254"/>
    </row>
    <row r="36" spans="1:6" ht="15.75" customHeight="1" thickBot="1">
      <c r="A36" s="344" t="s">
        <v>191</v>
      </c>
      <c r="B36" s="345"/>
      <c r="C36" s="345"/>
      <c r="D36" s="345"/>
      <c r="E36" s="345"/>
      <c r="F36" s="346"/>
    </row>
    <row r="37" spans="2:5" ht="15.75">
      <c r="B37" s="256"/>
      <c r="C37" s="257"/>
      <c r="D37" s="258"/>
      <c r="E37" s="259"/>
    </row>
    <row r="38" spans="1:5" ht="18">
      <c r="A38" s="260"/>
      <c r="D38" s="258"/>
      <c r="E38" s="259"/>
    </row>
    <row r="39" spans="4:5" ht="18">
      <c r="D39" s="258"/>
      <c r="E39" s="259"/>
    </row>
    <row r="40" spans="1:5" ht="15.75">
      <c r="A40" s="260"/>
      <c r="B40" s="256"/>
      <c r="C40" s="257"/>
      <c r="D40" s="258"/>
      <c r="E40" s="259"/>
    </row>
    <row r="41" ht="18">
      <c r="E41" s="259"/>
    </row>
    <row r="42" ht="15.75" customHeight="1">
      <c r="E42" s="259"/>
    </row>
    <row r="43" ht="18">
      <c r="E43" s="259"/>
    </row>
    <row r="44" spans="1:5" ht="18">
      <c r="A44" s="264"/>
      <c r="B44" s="265"/>
      <c r="C44" s="266"/>
      <c r="D44" s="267"/>
      <c r="E44" s="259"/>
    </row>
    <row r="45" spans="1:5" ht="18">
      <c r="A45" s="264"/>
      <c r="B45" s="265"/>
      <c r="C45" s="266"/>
      <c r="D45" s="267"/>
      <c r="E45" s="259"/>
    </row>
    <row r="46" spans="1:5" ht="18">
      <c r="A46" s="264"/>
      <c r="B46" s="265"/>
      <c r="C46" s="266"/>
      <c r="D46" s="267"/>
      <c r="E46" s="259"/>
    </row>
    <row r="47" spans="1:5" ht="18">
      <c r="A47" s="268"/>
      <c r="B47" s="269"/>
      <c r="C47" s="270"/>
      <c r="D47" s="271"/>
      <c r="E47" s="259"/>
    </row>
    <row r="48" spans="1:5" ht="15.75">
      <c r="A48" s="272"/>
      <c r="B48" s="269"/>
      <c r="C48" s="273"/>
      <c r="D48" s="274"/>
      <c r="E48" s="259"/>
    </row>
    <row r="49" spans="1:5" ht="15.75">
      <c r="A49" s="275"/>
      <c r="B49" s="269"/>
      <c r="C49" s="257"/>
      <c r="D49" s="274"/>
      <c r="E49" s="259"/>
    </row>
    <row r="50" spans="1:4" ht="15.75">
      <c r="A50" s="268"/>
      <c r="B50" s="269"/>
      <c r="C50" s="257"/>
      <c r="D50" s="274"/>
    </row>
    <row r="51" spans="1:4" ht="15.75">
      <c r="A51" s="275"/>
      <c r="B51" s="269"/>
      <c r="C51" s="257"/>
      <c r="D51" s="277"/>
    </row>
    <row r="52" spans="1:4" ht="15.75">
      <c r="A52" s="275"/>
      <c r="B52" s="269"/>
      <c r="C52" s="257"/>
      <c r="D52" s="277"/>
    </row>
    <row r="53" spans="1:4" ht="15.75">
      <c r="A53" s="272"/>
      <c r="B53" s="269"/>
      <c r="C53" s="257"/>
      <c r="D53" s="274"/>
    </row>
    <row r="54" spans="1:4" ht="15.75">
      <c r="A54" s="272"/>
      <c r="B54" s="269"/>
      <c r="C54" s="257"/>
      <c r="D54" s="274"/>
    </row>
    <row r="55" spans="1:4" ht="15.75">
      <c r="A55" s="272"/>
      <c r="B55" s="269"/>
      <c r="C55" s="257"/>
      <c r="D55" s="277"/>
    </row>
    <row r="56" spans="1:4" ht="15.75">
      <c r="A56" s="278"/>
      <c r="B56" s="269"/>
      <c r="C56" s="257"/>
      <c r="D56" s="279"/>
    </row>
  </sheetData>
  <sheetProtection/>
  <mergeCells count="2">
    <mergeCell ref="A36:F36"/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57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41.140625" style="255" customWidth="1"/>
    <col min="2" max="2" width="3.421875" style="261" customWidth="1"/>
    <col min="3" max="3" width="2.7109375" style="262" customWidth="1"/>
    <col min="4" max="4" width="14.00390625" style="263" customWidth="1"/>
    <col min="5" max="5" width="43.00390625" style="276" customWidth="1"/>
    <col min="6" max="6" width="66.28125" style="0" customWidth="1"/>
  </cols>
  <sheetData>
    <row r="1" spans="1:6" ht="18">
      <c r="A1" s="348" t="s">
        <v>29</v>
      </c>
      <c r="B1" s="348"/>
      <c r="C1" s="348"/>
      <c r="D1" s="348"/>
      <c r="E1" s="348"/>
      <c r="F1" s="348"/>
    </row>
    <row r="2" ht="18.75" thickBot="1">
      <c r="A2" s="296" t="s">
        <v>33</v>
      </c>
    </row>
    <row r="3" spans="1:6" ht="9" customHeight="1">
      <c r="A3" s="175" t="s">
        <v>36</v>
      </c>
      <c r="B3" s="176" t="s">
        <v>144</v>
      </c>
      <c r="C3" s="177" t="s">
        <v>38</v>
      </c>
      <c r="D3" s="178" t="s">
        <v>39</v>
      </c>
      <c r="E3" s="179" t="s">
        <v>40</v>
      </c>
      <c r="F3" s="180" t="s">
        <v>41</v>
      </c>
    </row>
    <row r="4" spans="1:6" ht="13.5" customHeight="1">
      <c r="A4" s="181" t="s">
        <v>192</v>
      </c>
      <c r="B4" s="182">
        <v>45</v>
      </c>
      <c r="C4" s="183">
        <v>6</v>
      </c>
      <c r="D4" s="184"/>
      <c r="E4" s="185"/>
      <c r="F4" s="186"/>
    </row>
    <row r="5" spans="1:6" ht="12" customHeight="1">
      <c r="A5" s="187" t="s">
        <v>193</v>
      </c>
      <c r="B5" s="188">
        <f>SUM(B6:B7)</f>
        <v>30</v>
      </c>
      <c r="C5" s="189">
        <f>SUM(C6:C7)</f>
        <v>4</v>
      </c>
      <c r="D5" s="184"/>
      <c r="E5" s="185"/>
      <c r="F5" s="186"/>
    </row>
    <row r="6" spans="1:6" ht="21.75" customHeight="1">
      <c r="A6" s="190" t="s">
        <v>194</v>
      </c>
      <c r="B6" s="191">
        <v>15</v>
      </c>
      <c r="C6" s="192">
        <v>2</v>
      </c>
      <c r="D6" s="193" t="s">
        <v>195</v>
      </c>
      <c r="E6" s="194" t="s">
        <v>196</v>
      </c>
      <c r="F6" s="195" t="s">
        <v>197</v>
      </c>
    </row>
    <row r="7" spans="1:6" ht="21" customHeight="1">
      <c r="A7" s="163" t="s">
        <v>198</v>
      </c>
      <c r="B7" s="196">
        <v>15</v>
      </c>
      <c r="C7" s="197">
        <v>2</v>
      </c>
      <c r="D7" s="42" t="s">
        <v>199</v>
      </c>
      <c r="E7" s="127" t="s">
        <v>200</v>
      </c>
      <c r="F7" s="198" t="s">
        <v>201</v>
      </c>
    </row>
    <row r="8" spans="1:6" ht="12" customHeight="1">
      <c r="A8" s="187" t="s">
        <v>202</v>
      </c>
      <c r="B8" s="188">
        <f>SUM(B9:B9)</f>
        <v>15</v>
      </c>
      <c r="C8" s="189">
        <f>SUM(C9:C9)</f>
        <v>2</v>
      </c>
      <c r="D8" s="49"/>
      <c r="E8" s="185"/>
      <c r="F8" s="186"/>
    </row>
    <row r="9" spans="1:6" ht="24" customHeight="1">
      <c r="A9" s="200" t="s">
        <v>203</v>
      </c>
      <c r="B9" s="201">
        <v>15</v>
      </c>
      <c r="C9" s="202">
        <v>2</v>
      </c>
      <c r="D9" s="203" t="s">
        <v>204</v>
      </c>
      <c r="E9" s="204" t="s">
        <v>205</v>
      </c>
      <c r="F9" s="205" t="s">
        <v>206</v>
      </c>
    </row>
    <row r="10" spans="1:6" ht="24.75" customHeight="1">
      <c r="A10" s="181" t="s">
        <v>269</v>
      </c>
      <c r="B10" s="182">
        <v>255</v>
      </c>
      <c r="C10" s="282">
        <v>54</v>
      </c>
      <c r="D10" s="184"/>
      <c r="E10" s="185"/>
      <c r="F10" s="186"/>
    </row>
    <row r="11" spans="1:6" ht="13.5" customHeight="1">
      <c r="A11" s="187" t="s">
        <v>270</v>
      </c>
      <c r="B11" s="188">
        <v>105</v>
      </c>
      <c r="C11" s="189">
        <v>16</v>
      </c>
      <c r="D11" s="206"/>
      <c r="E11" s="207"/>
      <c r="F11" s="208"/>
    </row>
    <row r="12" spans="1:6" ht="23.25" customHeight="1">
      <c r="A12" s="209" t="s">
        <v>22</v>
      </c>
      <c r="B12" s="210">
        <v>30</v>
      </c>
      <c r="C12" s="192">
        <v>3</v>
      </c>
      <c r="D12" s="193" t="s">
        <v>210</v>
      </c>
      <c r="E12" s="211" t="s">
        <v>211</v>
      </c>
      <c r="F12" s="212" t="s">
        <v>212</v>
      </c>
    </row>
    <row r="13" spans="1:6" ht="24" customHeight="1">
      <c r="A13" s="209" t="s">
        <v>213</v>
      </c>
      <c r="B13" s="210">
        <v>15</v>
      </c>
      <c r="C13" s="192">
        <v>2</v>
      </c>
      <c r="D13" s="193" t="s">
        <v>210</v>
      </c>
      <c r="E13" s="211" t="s">
        <v>211</v>
      </c>
      <c r="F13" s="212" t="s">
        <v>212</v>
      </c>
    </row>
    <row r="14" spans="1:6" ht="19.5" customHeight="1">
      <c r="A14" s="283" t="s">
        <v>21</v>
      </c>
      <c r="B14" s="234">
        <v>15</v>
      </c>
      <c r="C14" s="284">
        <v>2</v>
      </c>
      <c r="D14" s="69" t="s">
        <v>271</v>
      </c>
      <c r="E14" s="223" t="s">
        <v>272</v>
      </c>
      <c r="F14" s="224" t="s">
        <v>273</v>
      </c>
    </row>
    <row r="15" spans="1:6" ht="19.5" customHeight="1">
      <c r="A15" s="213" t="s">
        <v>274</v>
      </c>
      <c r="B15" s="201">
        <v>15</v>
      </c>
      <c r="C15" s="202">
        <v>3</v>
      </c>
      <c r="D15" s="214" t="s">
        <v>275</v>
      </c>
      <c r="E15" s="204" t="s">
        <v>276</v>
      </c>
      <c r="F15" s="205" t="s">
        <v>277</v>
      </c>
    </row>
    <row r="16" spans="1:6" ht="22.5" customHeight="1">
      <c r="A16" s="213" t="s">
        <v>214</v>
      </c>
      <c r="B16" s="201">
        <v>15</v>
      </c>
      <c r="C16" s="202">
        <v>3</v>
      </c>
      <c r="D16" s="214" t="s">
        <v>215</v>
      </c>
      <c r="E16" s="204" t="s">
        <v>216</v>
      </c>
      <c r="F16" s="205" t="s">
        <v>217</v>
      </c>
    </row>
    <row r="17" spans="1:6" ht="22.5" customHeight="1">
      <c r="A17" s="213" t="s">
        <v>218</v>
      </c>
      <c r="B17" s="201">
        <v>15</v>
      </c>
      <c r="C17" s="202">
        <v>3</v>
      </c>
      <c r="D17" s="214" t="s">
        <v>204</v>
      </c>
      <c r="E17" s="204" t="s">
        <v>205</v>
      </c>
      <c r="F17" s="205" t="s">
        <v>206</v>
      </c>
    </row>
    <row r="18" spans="1:6" ht="18" customHeight="1">
      <c r="A18" s="187" t="s">
        <v>278</v>
      </c>
      <c r="B18" s="188">
        <v>45</v>
      </c>
      <c r="C18" s="285">
        <v>6</v>
      </c>
      <c r="D18" s="225"/>
      <c r="E18" s="185"/>
      <c r="F18" s="186"/>
    </row>
    <row r="19" spans="1:6" ht="21.75" customHeight="1">
      <c r="A19" s="167" t="s">
        <v>279</v>
      </c>
      <c r="B19" s="229">
        <v>15</v>
      </c>
      <c r="C19" s="284">
        <v>2</v>
      </c>
      <c r="D19" s="115" t="s">
        <v>280</v>
      </c>
      <c r="E19" s="223" t="s">
        <v>281</v>
      </c>
      <c r="F19" s="224" t="s">
        <v>282</v>
      </c>
    </row>
    <row r="20" spans="1:6" ht="24.75" customHeight="1">
      <c r="A20" s="286" t="s">
        <v>283</v>
      </c>
      <c r="B20" s="201">
        <v>15</v>
      </c>
      <c r="C20" s="202">
        <v>2</v>
      </c>
      <c r="D20" s="203" t="s">
        <v>284</v>
      </c>
      <c r="E20" s="204" t="s">
        <v>285</v>
      </c>
      <c r="F20" s="287" t="s">
        <v>251</v>
      </c>
    </row>
    <row r="21" spans="1:6" ht="12.75" customHeight="1">
      <c r="A21" s="286" t="s">
        <v>286</v>
      </c>
      <c r="B21" s="201">
        <v>15</v>
      </c>
      <c r="C21" s="202">
        <v>2</v>
      </c>
      <c r="D21" s="203" t="s">
        <v>257</v>
      </c>
      <c r="E21" s="288" t="s">
        <v>258</v>
      </c>
      <c r="F21" s="287" t="s">
        <v>259</v>
      </c>
    </row>
    <row r="22" spans="1:6" ht="13.5">
      <c r="A22" s="187" t="s">
        <v>287</v>
      </c>
      <c r="B22" s="188">
        <v>45</v>
      </c>
      <c r="C22" s="285">
        <v>6</v>
      </c>
      <c r="D22" s="225"/>
      <c r="E22" s="185"/>
      <c r="F22" s="186"/>
    </row>
    <row r="23" spans="1:6" ht="13.5">
      <c r="A23" s="289" t="s">
        <v>288</v>
      </c>
      <c r="B23" s="234">
        <v>15</v>
      </c>
      <c r="C23" s="290">
        <v>2</v>
      </c>
      <c r="D23" s="291" t="s">
        <v>289</v>
      </c>
      <c r="E23" s="223" t="s">
        <v>290</v>
      </c>
      <c r="F23" s="224" t="s">
        <v>291</v>
      </c>
    </row>
    <row r="24" spans="1:6" ht="12.75" customHeight="1">
      <c r="A24" s="292" t="s">
        <v>292</v>
      </c>
      <c r="B24" s="229">
        <v>15</v>
      </c>
      <c r="C24" s="230">
        <v>2</v>
      </c>
      <c r="D24" s="69" t="s">
        <v>293</v>
      </c>
      <c r="E24" s="223" t="s">
        <v>294</v>
      </c>
      <c r="F24" s="293" t="s">
        <v>295</v>
      </c>
    </row>
    <row r="25" spans="1:6" ht="12.75" customHeight="1">
      <c r="A25" s="292" t="s">
        <v>296</v>
      </c>
      <c r="B25" s="229">
        <v>15</v>
      </c>
      <c r="C25" s="230">
        <v>2</v>
      </c>
      <c r="D25" s="69" t="s">
        <v>253</v>
      </c>
      <c r="E25" s="223" t="s">
        <v>226</v>
      </c>
      <c r="F25" s="293" t="s">
        <v>297</v>
      </c>
    </row>
    <row r="26" spans="1:6" ht="13.5">
      <c r="A26" s="187" t="s">
        <v>298</v>
      </c>
      <c r="B26" s="188">
        <v>45</v>
      </c>
      <c r="C26" s="285">
        <v>6</v>
      </c>
      <c r="D26" s="225"/>
      <c r="E26" s="185"/>
      <c r="F26" s="186"/>
    </row>
    <row r="27" spans="1:6" ht="24" customHeight="1">
      <c r="A27" s="167" t="s">
        <v>299</v>
      </c>
      <c r="B27" s="229">
        <v>15</v>
      </c>
      <c r="C27" s="284">
        <v>2</v>
      </c>
      <c r="D27" s="69" t="s">
        <v>300</v>
      </c>
      <c r="E27" s="119" t="s">
        <v>235</v>
      </c>
      <c r="F27" s="243" t="s">
        <v>236</v>
      </c>
    </row>
    <row r="28" spans="1:6" ht="11.25" customHeight="1">
      <c r="A28" s="167" t="s">
        <v>301</v>
      </c>
      <c r="B28" s="229">
        <v>15</v>
      </c>
      <c r="C28" s="284">
        <v>2</v>
      </c>
      <c r="D28" s="69" t="s">
        <v>302</v>
      </c>
      <c r="E28" s="223" t="s">
        <v>250</v>
      </c>
      <c r="F28" s="224" t="s">
        <v>255</v>
      </c>
    </row>
    <row r="29" spans="1:6" ht="11.25" customHeight="1">
      <c r="A29" s="292" t="s">
        <v>303</v>
      </c>
      <c r="B29" s="229">
        <v>15</v>
      </c>
      <c r="C29" s="284">
        <v>2</v>
      </c>
      <c r="D29" s="69" t="s">
        <v>304</v>
      </c>
      <c r="E29" s="223"/>
      <c r="F29" s="224"/>
    </row>
    <row r="30" spans="1:6" ht="11.25" customHeight="1">
      <c r="A30" s="240" t="s">
        <v>305</v>
      </c>
      <c r="B30" s="188">
        <f>SUM(B31:B33)</f>
        <v>15</v>
      </c>
      <c r="C30" s="189">
        <f>SUM(C31:C33)</f>
        <v>20</v>
      </c>
      <c r="D30" s="49"/>
      <c r="E30" s="185"/>
      <c r="F30" s="186"/>
    </row>
    <row r="31" spans="1:6" ht="11.25" customHeight="1">
      <c r="A31" s="241" t="s">
        <v>87</v>
      </c>
      <c r="B31" s="191"/>
      <c r="C31" s="231">
        <v>6</v>
      </c>
      <c r="D31" s="193"/>
      <c r="E31" s="211"/>
      <c r="F31" s="242"/>
    </row>
    <row r="32" spans="1:6" ht="21" customHeight="1">
      <c r="A32" s="232" t="s">
        <v>187</v>
      </c>
      <c r="B32" s="229">
        <v>6</v>
      </c>
      <c r="C32" s="63">
        <v>12</v>
      </c>
      <c r="D32" s="69" t="s">
        <v>261</v>
      </c>
      <c r="E32" s="223" t="s">
        <v>262</v>
      </c>
      <c r="F32" s="224" t="s">
        <v>263</v>
      </c>
    </row>
    <row r="33" spans="1:6" ht="0.75" customHeight="1">
      <c r="A33" s="232" t="s">
        <v>264</v>
      </c>
      <c r="B33" s="229">
        <v>9</v>
      </c>
      <c r="C33" s="63">
        <v>2</v>
      </c>
      <c r="D33" s="69" t="s">
        <v>265</v>
      </c>
      <c r="E33" s="223" t="s">
        <v>266</v>
      </c>
      <c r="F33" s="224" t="s">
        <v>267</v>
      </c>
    </row>
    <row r="34" spans="1:6" ht="11.25" customHeight="1">
      <c r="A34" s="232" t="s">
        <v>264</v>
      </c>
      <c r="B34" s="229">
        <v>9</v>
      </c>
      <c r="C34" s="63">
        <v>2</v>
      </c>
      <c r="D34" s="69" t="s">
        <v>265</v>
      </c>
      <c r="E34" s="223" t="s">
        <v>266</v>
      </c>
      <c r="F34" s="224" t="s">
        <v>267</v>
      </c>
    </row>
    <row r="35" spans="1:6" s="239" customFormat="1" ht="27.75" customHeight="1" thickBot="1">
      <c r="A35" s="244" t="s">
        <v>268</v>
      </c>
      <c r="B35" s="245">
        <v>300</v>
      </c>
      <c r="C35" s="245">
        <f>SUM(C4+C10)</f>
        <v>60</v>
      </c>
      <c r="D35" s="246"/>
      <c r="E35" s="247"/>
      <c r="F35" s="248"/>
    </row>
    <row r="36" spans="1:6" ht="14.25" thickBot="1">
      <c r="A36" s="249"/>
      <c r="B36" s="250"/>
      <c r="C36" s="251"/>
      <c r="D36" s="252"/>
      <c r="E36" s="253"/>
      <c r="F36" s="254"/>
    </row>
    <row r="37" spans="1:6" ht="13.5" thickBot="1">
      <c r="A37" s="344" t="s">
        <v>191</v>
      </c>
      <c r="B37" s="345"/>
      <c r="C37" s="345"/>
      <c r="D37" s="345"/>
      <c r="E37" s="345"/>
      <c r="F37" s="346"/>
    </row>
    <row r="38" spans="2:5" ht="15.75">
      <c r="B38" s="256"/>
      <c r="C38" s="257"/>
      <c r="D38" s="258"/>
      <c r="E38" s="259"/>
    </row>
    <row r="39" spans="1:5" ht="18">
      <c r="A39" s="260"/>
      <c r="D39" s="258"/>
      <c r="E39" s="259"/>
    </row>
    <row r="40" spans="4:5" ht="18">
      <c r="D40" s="258"/>
      <c r="E40" s="259"/>
    </row>
    <row r="41" spans="1:5" ht="15.75">
      <c r="A41" s="260"/>
      <c r="B41" s="256"/>
      <c r="C41" s="257"/>
      <c r="D41" s="258"/>
      <c r="E41" s="259"/>
    </row>
    <row r="42" ht="18">
      <c r="E42" s="259"/>
    </row>
    <row r="43" ht="15.75" customHeight="1">
      <c r="E43" s="259"/>
    </row>
    <row r="44" ht="18">
      <c r="E44" s="259"/>
    </row>
    <row r="45" spans="1:5" ht="18">
      <c r="A45" s="264"/>
      <c r="B45" s="265"/>
      <c r="C45" s="266"/>
      <c r="D45" s="267"/>
      <c r="E45" s="259"/>
    </row>
    <row r="46" spans="1:5" ht="18">
      <c r="A46" s="264"/>
      <c r="B46" s="265"/>
      <c r="C46" s="266"/>
      <c r="D46" s="267"/>
      <c r="E46" s="259"/>
    </row>
    <row r="47" spans="1:5" ht="18">
      <c r="A47" s="264"/>
      <c r="B47" s="265"/>
      <c r="C47" s="266"/>
      <c r="D47" s="267"/>
      <c r="E47" s="259"/>
    </row>
    <row r="48" spans="1:5" ht="18">
      <c r="A48" s="268"/>
      <c r="B48" s="269"/>
      <c r="C48" s="270"/>
      <c r="D48" s="271"/>
      <c r="E48" s="259"/>
    </row>
    <row r="49" spans="1:5" ht="15.75" customHeight="1">
      <c r="A49" s="272"/>
      <c r="B49" s="269"/>
      <c r="C49" s="273"/>
      <c r="D49" s="274"/>
      <c r="E49" s="259"/>
    </row>
    <row r="50" spans="1:5" ht="15.75">
      <c r="A50" s="275"/>
      <c r="B50" s="269"/>
      <c r="C50" s="257"/>
      <c r="D50" s="274"/>
      <c r="E50" s="259"/>
    </row>
    <row r="51" spans="1:4" ht="15.75">
      <c r="A51" s="268"/>
      <c r="B51" s="269"/>
      <c r="C51" s="257"/>
      <c r="D51" s="274"/>
    </row>
    <row r="52" spans="1:4" ht="15.75">
      <c r="A52" s="275"/>
      <c r="B52" s="269"/>
      <c r="C52" s="257"/>
      <c r="D52" s="277"/>
    </row>
    <row r="53" spans="1:4" ht="15.75">
      <c r="A53" s="275"/>
      <c r="B53" s="269"/>
      <c r="C53" s="257"/>
      <c r="D53" s="277"/>
    </row>
    <row r="54" spans="1:4" ht="15.75">
      <c r="A54" s="272"/>
      <c r="B54" s="269"/>
      <c r="C54" s="257"/>
      <c r="D54" s="274"/>
    </row>
    <row r="55" spans="1:4" ht="15.75">
      <c r="A55" s="272"/>
      <c r="B55" s="269"/>
      <c r="C55" s="257"/>
      <c r="D55" s="274"/>
    </row>
    <row r="56" spans="1:4" ht="15.75">
      <c r="A56" s="272"/>
      <c r="B56" s="269"/>
      <c r="C56" s="257"/>
      <c r="D56" s="277"/>
    </row>
    <row r="57" spans="1:4" ht="15.75">
      <c r="A57" s="278"/>
      <c r="B57" s="269"/>
      <c r="C57" s="257"/>
      <c r="D57" s="279"/>
    </row>
  </sheetData>
  <sheetProtection/>
  <mergeCells count="2">
    <mergeCell ref="A37:F37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75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0.00390625" style="0" customWidth="1"/>
    <col min="4" max="4" width="11.7109375" style="0" bestFit="1" customWidth="1"/>
  </cols>
  <sheetData>
    <row r="1" spans="2:3" ht="13.5">
      <c r="B1" s="3"/>
      <c r="C1" s="3"/>
    </row>
    <row r="2" spans="2:3" ht="13.5">
      <c r="B2" s="3"/>
      <c r="C2" s="3"/>
    </row>
    <row r="3" spans="1:4" ht="20.25" customHeight="1">
      <c r="A3" s="349" t="s">
        <v>30</v>
      </c>
      <c r="B3" s="349"/>
      <c r="C3" s="349"/>
      <c r="D3" s="349"/>
    </row>
    <row r="4" spans="1:3" ht="13.5">
      <c r="A4" s="26" t="s">
        <v>33</v>
      </c>
      <c r="B4" s="3"/>
      <c r="C4" s="3"/>
    </row>
    <row r="5" spans="2:3" ht="14.25" thickBot="1">
      <c r="B5" s="4"/>
      <c r="C5" s="4"/>
    </row>
    <row r="6" spans="2:3" ht="14.25" hidden="1" thickBot="1">
      <c r="B6" s="4"/>
      <c r="C6" s="4"/>
    </row>
    <row r="7" spans="1:5" ht="28.5" customHeight="1">
      <c r="A7" s="13" t="s">
        <v>2</v>
      </c>
      <c r="B7" s="14" t="s">
        <v>0</v>
      </c>
      <c r="C7" s="15" t="s">
        <v>3</v>
      </c>
      <c r="D7" s="16" t="s">
        <v>1</v>
      </c>
      <c r="E7" s="8"/>
    </row>
    <row r="8" spans="1:6" ht="19.5" customHeight="1">
      <c r="A8" s="17"/>
      <c r="B8" s="12" t="s">
        <v>23</v>
      </c>
      <c r="C8" s="12">
        <v>18</v>
      </c>
      <c r="D8" s="22">
        <v>4</v>
      </c>
      <c r="E8" s="9"/>
      <c r="F8" s="5"/>
    </row>
    <row r="9" spans="1:6" ht="19.5" customHeight="1">
      <c r="A9" s="17"/>
      <c r="B9" s="12" t="s">
        <v>24</v>
      </c>
      <c r="C9" s="12">
        <v>18</v>
      </c>
      <c r="D9" s="20">
        <v>4</v>
      </c>
      <c r="E9" s="9"/>
      <c r="F9" s="5"/>
    </row>
    <row r="10" spans="1:6" ht="19.5" customHeight="1">
      <c r="A10" s="308"/>
      <c r="B10" s="12" t="s">
        <v>357</v>
      </c>
      <c r="C10" s="12">
        <v>18</v>
      </c>
      <c r="D10" s="20">
        <v>4</v>
      </c>
      <c r="E10" s="9"/>
      <c r="F10" s="5"/>
    </row>
    <row r="11" spans="1:6" ht="19.5" customHeight="1">
      <c r="A11" s="17"/>
      <c r="B11" s="12" t="s">
        <v>358</v>
      </c>
      <c r="C11" s="12">
        <v>18</v>
      </c>
      <c r="D11" s="20">
        <v>4</v>
      </c>
      <c r="E11" s="9"/>
      <c r="F11" s="5"/>
    </row>
    <row r="12" spans="1:6" ht="19.5" customHeight="1">
      <c r="A12" s="17"/>
      <c r="B12" s="12" t="s">
        <v>359</v>
      </c>
      <c r="C12" s="12">
        <v>18</v>
      </c>
      <c r="D12" s="20">
        <v>4</v>
      </c>
      <c r="E12" s="9"/>
      <c r="F12" s="5"/>
    </row>
    <row r="13" spans="1:6" ht="19.5" customHeight="1" thickBot="1">
      <c r="A13" s="18"/>
      <c r="B13" s="19" t="s">
        <v>360</v>
      </c>
      <c r="C13" s="19">
        <v>18</v>
      </c>
      <c r="D13" s="21">
        <v>4</v>
      </c>
      <c r="E13" s="9"/>
      <c r="F13" s="5"/>
    </row>
    <row r="14" spans="2:5" ht="19.5" customHeight="1">
      <c r="B14" s="7"/>
      <c r="C14" s="7"/>
      <c r="D14" s="5"/>
      <c r="E14" s="6"/>
    </row>
    <row r="15" spans="2:5" ht="19.5" customHeight="1">
      <c r="B15" s="2"/>
      <c r="C15" s="2"/>
      <c r="E15" s="1"/>
    </row>
    <row r="16" spans="2:5" ht="19.5" customHeight="1">
      <c r="B16" s="2"/>
      <c r="C16" s="2"/>
      <c r="E16" s="1"/>
    </row>
    <row r="17" spans="2:5" ht="19.5" customHeight="1">
      <c r="B17" s="2"/>
      <c r="C17" s="2"/>
      <c r="E17" s="1"/>
    </row>
    <row r="18" spans="2:5" ht="19.5" customHeight="1">
      <c r="B18" s="2"/>
      <c r="C18" s="2"/>
      <c r="E18" s="1"/>
    </row>
    <row r="19" spans="2:5" ht="19.5" customHeight="1">
      <c r="B19" s="2"/>
      <c r="C19" s="2"/>
      <c r="E19" s="1"/>
    </row>
    <row r="20" spans="2:5" ht="19.5" customHeight="1">
      <c r="B20" s="2"/>
      <c r="C20" s="2"/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Berger</dc:creator>
  <cp:keywords/>
  <dc:description/>
  <cp:lastModifiedBy>Admin</cp:lastModifiedBy>
  <cp:lastPrinted>2015-02-09T13:01:04Z</cp:lastPrinted>
  <dcterms:created xsi:type="dcterms:W3CDTF">2003-06-30T17:27:59Z</dcterms:created>
  <dcterms:modified xsi:type="dcterms:W3CDTF">2017-02-01T13:59:21Z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IntOfficeMacros">
    <vt:lpwstr>Disabled</vt:lpwstr>
  </property>
  <property fmtid="{D5CDD505-2E9C-101B-9397-08002B2CF9AE}" pid="3" name="SW_CustomTitle">
    <vt:lpwstr/>
  </property>
  <property fmtid="{D5CDD505-2E9C-101B-9397-08002B2CF9AE}" pid="4" name="Google.Documents.Tracking">
    <vt:lpwstr>true</vt:lpwstr>
  </property>
  <property fmtid="{D5CDD505-2E9C-101B-9397-08002B2CF9AE}" pid="5" name="Google.Documents.DocumentId">
    <vt:lpwstr>1mPF6XaVljF-QRG2Q-K9ag81raRbeu63b5w4xvqrJzWk</vt:lpwstr>
  </property>
  <property fmtid="{D5CDD505-2E9C-101B-9397-08002B2CF9AE}" pid="6" name="Google.Documents.RevisionId">
    <vt:lpwstr>01747823761228586923</vt:lpwstr>
  </property>
  <property fmtid="{D5CDD505-2E9C-101B-9397-08002B2CF9AE}" pid="7" name="Google.Documents.PluginVersion">
    <vt:lpwstr>2.0.2026.3768</vt:lpwstr>
  </property>
  <property fmtid="{D5CDD505-2E9C-101B-9397-08002B2CF9AE}" pid="8" name="Google.Documents.MergeIncapabilityFlags">
    <vt:i4>0</vt:i4>
  </property>
</Properties>
</file>